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C:\Users\yiwang2\Desktop\WP3\CHA\data\processed\management\"/>
    </mc:Choice>
  </mc:AlternateContent>
  <xr:revisionPtr revIDLastSave="0" documentId="13_ncr:1_{05C8D678-F8C8-479E-B170-930A15E75A55}" xr6:coauthVersionLast="47" xr6:coauthVersionMax="47" xr10:uidLastSave="{00000000-0000-0000-0000-000000000000}"/>
  <bookViews>
    <workbookView xWindow="-108" yWindow="-108" windowWidth="30936" windowHeight="16776" tabRatio="916" xr2:uid="{00000000-000D-0000-FFFF-FFFF00000000}"/>
  </bookViews>
  <sheets>
    <sheet name="CHA_Management" sheetId="26" r:id="rId1"/>
    <sheet name="Parcel separation" sheetId="33" r:id="rId2"/>
    <sheet name="Additional information" sheetId="23" r:id="rId3"/>
    <sheet name="Seed mixtures" sheetId="27" r:id="rId4"/>
    <sheet name="Herbicides" sheetId="28" r:id="rId5"/>
  </sheets>
  <definedNames>
    <definedName name="_xlnm._FilterDatabase" localSheetId="0" hidden="1">CHA_Management!$A$1:$AR$581</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L581" i="26" l="1"/>
  <c r="N581" i="26" s="1"/>
  <c r="L567" i="26"/>
  <c r="N567" i="26" s="1"/>
  <c r="L568" i="26"/>
  <c r="N568" i="26" s="1"/>
  <c r="L554" i="26"/>
  <c r="N554" i="26" s="1"/>
  <c r="L529" i="26"/>
  <c r="N529" i="26"/>
  <c r="L517" i="26"/>
  <c r="N517" i="26" s="1"/>
  <c r="AF473" i="26"/>
  <c r="L572" i="26"/>
  <c r="L480" i="26"/>
  <c r="U533" i="26"/>
  <c r="L580" i="26"/>
  <c r="L578" i="26"/>
  <c r="L576" i="26"/>
  <c r="L569" i="26"/>
  <c r="L566" i="26"/>
  <c r="L564" i="26"/>
  <c r="L562" i="26"/>
  <c r="L558" i="26"/>
  <c r="L555" i="26"/>
  <c r="L547" i="26"/>
  <c r="U562" i="26"/>
  <c r="V562" i="26" s="1"/>
  <c r="U580" i="26"/>
  <c r="W580" i="26" s="1"/>
  <c r="U578" i="26"/>
  <c r="W578" i="26" s="1"/>
  <c r="U576" i="26"/>
  <c r="W576" i="26" s="1"/>
  <c r="U572" i="26"/>
  <c r="W572" i="26" s="1"/>
  <c r="U569" i="26"/>
  <c r="W569" i="26" s="1"/>
  <c r="U566" i="26"/>
  <c r="W566" i="26" s="1"/>
  <c r="U564" i="26"/>
  <c r="W564" i="26" s="1"/>
  <c r="U558" i="26"/>
  <c r="W558" i="26" s="1"/>
  <c r="U555" i="26"/>
  <c r="W555" i="26" s="1"/>
  <c r="AL529" i="26"/>
  <c r="AL527" i="26"/>
  <c r="AL525" i="26"/>
  <c r="AL523" i="26"/>
  <c r="AL519" i="26"/>
  <c r="AL517" i="26"/>
  <c r="AL515" i="26"/>
  <c r="AL513" i="26"/>
  <c r="AL511" i="26"/>
  <c r="AL507" i="26"/>
  <c r="AL505" i="26"/>
  <c r="AL504" i="26"/>
  <c r="AL499" i="26"/>
  <c r="AL497" i="26"/>
  <c r="AL495" i="26"/>
  <c r="AL493" i="26"/>
  <c r="AL492" i="26"/>
  <c r="AL486" i="26"/>
  <c r="AL484" i="26"/>
  <c r="AL482" i="26"/>
  <c r="AK529" i="26"/>
  <c r="AK527" i="26"/>
  <c r="AK525" i="26"/>
  <c r="AK523" i="26"/>
  <c r="AK519" i="26"/>
  <c r="AK517" i="26"/>
  <c r="AK515" i="26"/>
  <c r="AK513" i="26"/>
  <c r="AK511" i="26"/>
  <c r="AK507" i="26"/>
  <c r="AK505" i="26"/>
  <c r="AK504" i="26"/>
  <c r="AK499" i="26"/>
  <c r="AK497" i="26"/>
  <c r="AK495" i="26"/>
  <c r="AK493" i="26"/>
  <c r="AK492" i="26"/>
  <c r="AK486" i="26"/>
  <c r="W562" i="26" l="1"/>
  <c r="V580" i="26"/>
  <c r="V578" i="26"/>
  <c r="V576" i="26"/>
  <c r="V572" i="26"/>
  <c r="V569" i="26"/>
  <c r="V566" i="26"/>
  <c r="V564" i="26"/>
  <c r="V558" i="26"/>
  <c r="V555" i="26"/>
  <c r="L552" i="26"/>
  <c r="L550" i="26"/>
  <c r="L545" i="26"/>
  <c r="L542" i="26"/>
  <c r="L540" i="26"/>
  <c r="L538" i="26"/>
  <c r="L535" i="26"/>
  <c r="L533" i="26"/>
  <c r="L530" i="26"/>
  <c r="L528" i="26"/>
  <c r="U542" i="26" l="1"/>
  <c r="V542" i="26" s="1"/>
  <c r="U552" i="26"/>
  <c r="V552" i="26" s="1"/>
  <c r="U550" i="26"/>
  <c r="W550" i="26" s="1"/>
  <c r="U547" i="26"/>
  <c r="W547" i="26" s="1"/>
  <c r="U545" i="26"/>
  <c r="W545" i="26" s="1"/>
  <c r="U530" i="26"/>
  <c r="V530" i="26" s="1"/>
  <c r="U540" i="26"/>
  <c r="V540" i="26" s="1"/>
  <c r="U538" i="26"/>
  <c r="W538" i="26" s="1"/>
  <c r="U535" i="26"/>
  <c r="W535" i="26" s="1"/>
  <c r="V533" i="26"/>
  <c r="U528" i="26"/>
  <c r="W528" i="26" s="1"/>
  <c r="L526" i="26"/>
  <c r="U526" i="26"/>
  <c r="W526" i="26" s="1"/>
  <c r="L524" i="26"/>
  <c r="U524" i="26"/>
  <c r="W524" i="26" s="1"/>
  <c r="L522" i="26"/>
  <c r="U522" i="26"/>
  <c r="W522" i="26" s="1"/>
  <c r="L520" i="26"/>
  <c r="U520" i="26"/>
  <c r="W520" i="26" s="1"/>
  <c r="L518" i="26"/>
  <c r="U518" i="26"/>
  <c r="W518" i="26" s="1"/>
  <c r="L516" i="26"/>
  <c r="U516" i="26"/>
  <c r="W516" i="26" s="1"/>
  <c r="L514" i="26"/>
  <c r="U514" i="26"/>
  <c r="W514" i="26" s="1"/>
  <c r="L512" i="26"/>
  <c r="U512" i="26"/>
  <c r="W512" i="26" s="1"/>
  <c r="L510" i="26"/>
  <c r="U510" i="26"/>
  <c r="W510" i="26" s="1"/>
  <c r="L508" i="26"/>
  <c r="U508" i="26"/>
  <c r="W508" i="26" s="1"/>
  <c r="L506" i="26"/>
  <c r="U506" i="26"/>
  <c r="W506" i="26" s="1"/>
  <c r="W542" i="26" l="1"/>
  <c r="W552" i="26"/>
  <c r="W533" i="26"/>
  <c r="W540" i="26"/>
  <c r="V535" i="26"/>
  <c r="V538" i="26"/>
  <c r="V545" i="26"/>
  <c r="W530" i="26"/>
  <c r="V547" i="26"/>
  <c r="V550" i="26"/>
  <c r="V526" i="26"/>
  <c r="V524" i="26"/>
  <c r="V510" i="26"/>
  <c r="V516" i="26"/>
  <c r="V522" i="26"/>
  <c r="V506" i="26"/>
  <c r="V512" i="26"/>
  <c r="V518" i="26"/>
  <c r="V508" i="26"/>
  <c r="V514" i="26"/>
  <c r="V520" i="26"/>
  <c r="V528" i="26"/>
  <c r="L500" i="26" l="1"/>
  <c r="L487" i="26"/>
  <c r="L485" i="26"/>
  <c r="U500" i="26"/>
  <c r="W500" i="26" s="1"/>
  <c r="U487" i="26"/>
  <c r="W487" i="26" s="1"/>
  <c r="U485" i="26"/>
  <c r="L498" i="26"/>
  <c r="U498" i="26"/>
  <c r="W498" i="26" s="1"/>
  <c r="N285" i="26"/>
  <c r="N283" i="26"/>
  <c r="N281" i="26"/>
  <c r="U281" i="26" s="1"/>
  <c r="N279" i="26"/>
  <c r="N276" i="26"/>
  <c r="N274" i="26"/>
  <c r="V487" i="26" l="1"/>
  <c r="V500" i="26"/>
  <c r="V498" i="26"/>
  <c r="K448" i="26"/>
  <c r="L433" i="26"/>
  <c r="L432" i="26"/>
  <c r="L434" i="26"/>
  <c r="L436" i="26"/>
  <c r="L438" i="26"/>
  <c r="L503" i="26"/>
  <c r="L490" i="26"/>
  <c r="L488" i="26"/>
  <c r="L501" i="26"/>
  <c r="L455" i="26"/>
  <c r="L462" i="26"/>
  <c r="L473" i="26"/>
  <c r="N473" i="26" s="1"/>
  <c r="L493" i="26"/>
  <c r="N493" i="26" s="1"/>
  <c r="K505" i="26"/>
  <c r="L505" i="26" s="1"/>
  <c r="N505" i="26" s="1"/>
  <c r="L320" i="26"/>
  <c r="AD468" i="26"/>
  <c r="AD470" i="26"/>
  <c r="AD449" i="26"/>
  <c r="AD451" i="26"/>
  <c r="AD453" i="26"/>
  <c r="AD456" i="26"/>
  <c r="AD460" i="26"/>
  <c r="AD463" i="26"/>
  <c r="AD464" i="26"/>
  <c r="AC421" i="26"/>
  <c r="AC423" i="26"/>
  <c r="AC425" i="26"/>
  <c r="AC465" i="26"/>
  <c r="AC477" i="26"/>
  <c r="AC478" i="26"/>
  <c r="AE478" i="26" s="1"/>
  <c r="AC448" i="26"/>
  <c r="AE448" i="26" s="1"/>
  <c r="AQ389" i="26"/>
  <c r="AK389" i="26"/>
  <c r="AK417" i="26"/>
  <c r="AE477" i="26" l="1"/>
  <c r="AD477" i="26"/>
  <c r="AD478" i="26"/>
  <c r="AD448" i="26"/>
  <c r="N116" i="26"/>
  <c r="AL465" i="26"/>
  <c r="AL467" i="26"/>
  <c r="AL469" i="26"/>
  <c r="AL471" i="26"/>
  <c r="AL472" i="26"/>
  <c r="AL473" i="26"/>
  <c r="AL475" i="26"/>
  <c r="AL476" i="26"/>
  <c r="AL477" i="26"/>
  <c r="AL478" i="26"/>
  <c r="AL479" i="26"/>
  <c r="AL480" i="26"/>
  <c r="AL445" i="26"/>
  <c r="AL448" i="26"/>
  <c r="AL450" i="26"/>
  <c r="AL452" i="26"/>
  <c r="AL454" i="26"/>
  <c r="AL455" i="26"/>
  <c r="AL457" i="26"/>
  <c r="AL458" i="26"/>
  <c r="AL459" i="26"/>
  <c r="AL461" i="26"/>
  <c r="AL462" i="26"/>
  <c r="AQ414" i="26"/>
  <c r="AP414" i="26"/>
  <c r="AI430" i="26"/>
  <c r="AL421" i="26"/>
  <c r="AL420" i="26"/>
  <c r="AP398" i="26"/>
  <c r="AP397" i="26"/>
  <c r="AC479" i="26"/>
  <c r="AC476" i="26"/>
  <c r="AC475" i="26"/>
  <c r="AC472" i="26"/>
  <c r="AC471" i="26"/>
  <c r="AC469" i="26"/>
  <c r="AC467" i="26"/>
  <c r="AC461" i="26"/>
  <c r="AC459" i="26"/>
  <c r="AC458" i="26"/>
  <c r="AC457" i="26"/>
  <c r="AC454" i="26"/>
  <c r="AC452" i="26"/>
  <c r="AC450" i="26"/>
  <c r="AC445" i="26"/>
  <c r="L448" i="26"/>
  <c r="AC443" i="26"/>
  <c r="AC442" i="26"/>
  <c r="AC441" i="26"/>
  <c r="AC439" i="26"/>
  <c r="AC437" i="26"/>
  <c r="AC435" i="26"/>
  <c r="AC433" i="26"/>
  <c r="AC428" i="26"/>
  <c r="AC429" i="26"/>
  <c r="AC430" i="26"/>
  <c r="AC427" i="26"/>
  <c r="AC420" i="26"/>
  <c r="N455" i="26"/>
  <c r="AD452" i="26" l="1"/>
  <c r="AE452" i="26"/>
  <c r="AE441" i="26"/>
  <c r="AD441" i="26"/>
  <c r="AE442" i="26"/>
  <c r="AD442" i="26"/>
  <c r="AE457" i="26"/>
  <c r="AD457" i="26"/>
  <c r="AE467" i="26"/>
  <c r="AD467" i="26"/>
  <c r="AE469" i="26"/>
  <c r="AD469" i="26"/>
  <c r="AD454" i="26"/>
  <c r="AE454" i="26"/>
  <c r="AE458" i="26"/>
  <c r="AD458" i="26"/>
  <c r="AD476" i="26"/>
  <c r="AE476" i="26"/>
  <c r="AD471" i="26"/>
  <c r="AE471" i="26"/>
  <c r="AE459" i="26"/>
  <c r="AD459" i="26"/>
  <c r="AE450" i="26"/>
  <c r="AD450" i="26"/>
  <c r="AE433" i="26"/>
  <c r="AD433" i="26"/>
  <c r="AE461" i="26"/>
  <c r="AD461" i="26"/>
  <c r="AE443" i="26"/>
  <c r="AD443" i="26"/>
  <c r="N256" i="26"/>
  <c r="AC383" i="26" l="1"/>
  <c r="N426" i="26"/>
  <c r="AF431" i="26"/>
  <c r="AF426" i="26"/>
  <c r="AL430" i="26"/>
  <c r="N431" i="26"/>
  <c r="AF455" i="26"/>
  <c r="AC455" i="26" s="1"/>
  <c r="AF462" i="26"/>
  <c r="AF480" i="26"/>
  <c r="AC473" i="26"/>
  <c r="N480" i="26"/>
  <c r="AF411" i="26"/>
  <c r="AK433" i="26"/>
  <c r="N462" i="26"/>
  <c r="L496" i="26"/>
  <c r="L494" i="26"/>
  <c r="L483" i="26"/>
  <c r="L481" i="26"/>
  <c r="V485" i="26"/>
  <c r="U494" i="26"/>
  <c r="W494" i="26" s="1"/>
  <c r="U481" i="26"/>
  <c r="V481" i="26" s="1"/>
  <c r="U496" i="26"/>
  <c r="W496" i="26" s="1"/>
  <c r="U483" i="26"/>
  <c r="W483" i="26" s="1"/>
  <c r="AK482" i="26"/>
  <c r="AK484" i="26"/>
  <c r="L476" i="26"/>
  <c r="L468" i="26"/>
  <c r="L477" i="26"/>
  <c r="L478" i="26"/>
  <c r="L467" i="26"/>
  <c r="L466" i="26"/>
  <c r="L469" i="26"/>
  <c r="L470" i="26"/>
  <c r="L471" i="26"/>
  <c r="N414" i="26"/>
  <c r="AC414" i="26" s="1"/>
  <c r="L454" i="26"/>
  <c r="U440" i="26"/>
  <c r="V440" i="26" s="1"/>
  <c r="U466" i="26"/>
  <c r="V466" i="26" s="1"/>
  <c r="U470" i="26"/>
  <c r="V470" i="26" s="1"/>
  <c r="U468" i="26"/>
  <c r="V468" i="26" s="1"/>
  <c r="U463" i="26"/>
  <c r="W463" i="26" s="1"/>
  <c r="AK475" i="26"/>
  <c r="AK480" i="26"/>
  <c r="AK479" i="26"/>
  <c r="AK478" i="26"/>
  <c r="AK477" i="26"/>
  <c r="AK476" i="26"/>
  <c r="AK473" i="26"/>
  <c r="AK472" i="26"/>
  <c r="AK471" i="26"/>
  <c r="AK469" i="26"/>
  <c r="AK467" i="26"/>
  <c r="AK465" i="26"/>
  <c r="AK462" i="26"/>
  <c r="AK461" i="26"/>
  <c r="AK459" i="26"/>
  <c r="AK458" i="26"/>
  <c r="AK457" i="26"/>
  <c r="AK455" i="26"/>
  <c r="AK454" i="26"/>
  <c r="AK452" i="26"/>
  <c r="AK450" i="26"/>
  <c r="AK448" i="26"/>
  <c r="AK445" i="26"/>
  <c r="AC480" i="26" l="1"/>
  <c r="AD480" i="26" s="1"/>
  <c r="AC431" i="26"/>
  <c r="AD431" i="26" s="1"/>
  <c r="AC426" i="26"/>
  <c r="AD426" i="26" s="1"/>
  <c r="AD414" i="26"/>
  <c r="AE414" i="26"/>
  <c r="AC462" i="26"/>
  <c r="AD462" i="26" s="1"/>
  <c r="AE455" i="26"/>
  <c r="AD455" i="26"/>
  <c r="AD473" i="26"/>
  <c r="AE473" i="26"/>
  <c r="V463" i="26"/>
  <c r="V496" i="26"/>
  <c r="W468" i="26"/>
  <c r="W485" i="26"/>
  <c r="V494" i="26"/>
  <c r="W481" i="26"/>
  <c r="V483" i="26"/>
  <c r="W440" i="26"/>
  <c r="W466" i="26"/>
  <c r="W470" i="26"/>
  <c r="AE480" i="26" l="1"/>
  <c r="AE431" i="26"/>
  <c r="AE426" i="26"/>
  <c r="AE462" i="26"/>
  <c r="T399" i="26"/>
  <c r="U453" i="26" l="1"/>
  <c r="L452" i="26"/>
  <c r="L450" i="26"/>
  <c r="L453" i="26"/>
  <c r="L451" i="26"/>
  <c r="L447" i="26"/>
  <c r="L446" i="26"/>
  <c r="W453" i="26" l="1"/>
  <c r="V453" i="26"/>
  <c r="AK402" i="26"/>
  <c r="AD342" i="26"/>
  <c r="AL442" i="26" l="1"/>
  <c r="AL443" i="26"/>
  <c r="AL441" i="26"/>
  <c r="AL435" i="26"/>
  <c r="AL437" i="26"/>
  <c r="AL439" i="26"/>
  <c r="AL433" i="26"/>
  <c r="AL423" i="26"/>
  <c r="AL425" i="26"/>
  <c r="AL427" i="26"/>
  <c r="AL428" i="26"/>
  <c r="AL429" i="26"/>
  <c r="U451" i="26" l="1"/>
  <c r="W451" i="26" l="1"/>
  <c r="V451" i="26"/>
  <c r="U449" i="26"/>
  <c r="W449" i="26" s="1"/>
  <c r="V449" i="26" l="1"/>
  <c r="E82" i="27"/>
  <c r="E80" i="27"/>
  <c r="L449" i="26" l="1"/>
  <c r="N160" i="26"/>
  <c r="U446" i="26"/>
  <c r="V446" i="26" l="1"/>
  <c r="W446" i="26"/>
  <c r="AK442" i="26"/>
  <c r="AK443" i="26"/>
  <c r="AK441" i="26"/>
  <c r="AK435" i="26"/>
  <c r="AK437" i="26"/>
  <c r="AK439" i="26"/>
  <c r="AK421" i="26"/>
  <c r="AK423" i="26"/>
  <c r="AK425" i="26"/>
  <c r="AK427" i="26"/>
  <c r="AK428" i="26"/>
  <c r="AK429" i="26"/>
  <c r="AK430" i="26"/>
  <c r="AK420" i="26"/>
  <c r="AK414" i="26"/>
  <c r="AK415" i="26"/>
  <c r="AK416" i="26"/>
  <c r="AK418" i="26"/>
  <c r="AK411" i="26"/>
  <c r="AK404" i="26"/>
  <c r="AK406" i="26"/>
  <c r="AK408" i="26"/>
  <c r="AK410" i="26"/>
  <c r="AK400" i="26"/>
  <c r="AK395" i="26"/>
  <c r="AK396" i="26"/>
  <c r="AK397" i="26"/>
  <c r="AK398" i="26"/>
  <c r="AK399" i="26"/>
  <c r="AK394" i="26"/>
  <c r="AK383" i="26"/>
  <c r="AK385" i="26"/>
  <c r="AK387" i="26"/>
  <c r="AK381" i="26"/>
  <c r="AK378" i="26" l="1"/>
  <c r="AK368" i="26"/>
  <c r="AK366" i="26"/>
  <c r="V434" i="26" l="1"/>
  <c r="V436" i="26"/>
  <c r="V432" i="26"/>
  <c r="V422" i="26"/>
  <c r="V424" i="26"/>
  <c r="V419" i="26"/>
  <c r="U438" i="26" l="1"/>
  <c r="V438" i="26" l="1"/>
  <c r="W438" i="26"/>
  <c r="L409" i="26"/>
  <c r="L407" i="26"/>
  <c r="L405" i="26"/>
  <c r="L403" i="26"/>
  <c r="L401" i="26"/>
  <c r="U401" i="26"/>
  <c r="V401" i="26" s="1"/>
  <c r="AC5" i="26" l="1"/>
  <c r="AE5" i="26" s="1"/>
  <c r="N30" i="26"/>
  <c r="AC30" i="26" s="1"/>
  <c r="AE30" i="26" s="1"/>
  <c r="N32" i="26"/>
  <c r="AC32" i="26" s="1"/>
  <c r="AE32" i="26" s="1"/>
  <c r="N33" i="26"/>
  <c r="AC33" i="26" s="1"/>
  <c r="AD33" i="26" s="1"/>
  <c r="N35" i="26"/>
  <c r="AC35" i="26" s="1"/>
  <c r="AE35" i="26" s="1"/>
  <c r="N38" i="26"/>
  <c r="U38" i="26" s="1"/>
  <c r="V38" i="26" s="1"/>
  <c r="N44" i="26"/>
  <c r="U44" i="26" s="1"/>
  <c r="N47" i="26"/>
  <c r="U47" i="26" s="1"/>
  <c r="V47" i="26" s="1"/>
  <c r="N50" i="26"/>
  <c r="U50" i="26" s="1"/>
  <c r="V50" i="26" s="1"/>
  <c r="E7" i="27"/>
  <c r="E8" i="27"/>
  <c r="E9" i="27"/>
  <c r="E10" i="27"/>
  <c r="E11" i="27"/>
  <c r="D12" i="27"/>
  <c r="E12" i="27" s="1"/>
  <c r="D69" i="27"/>
  <c r="E69" i="27" s="1"/>
  <c r="D70" i="27"/>
  <c r="E70" i="27" s="1"/>
  <c r="E71" i="27"/>
  <c r="D68" i="27"/>
  <c r="E68" i="27"/>
  <c r="E52" i="27"/>
  <c r="E48" i="27"/>
  <c r="E49" i="27"/>
  <c r="E56" i="27" s="1"/>
  <c r="E50" i="27"/>
  <c r="E51" i="27"/>
  <c r="E53" i="27"/>
  <c r="E54" i="27"/>
  <c r="E55" i="27"/>
  <c r="D56" i="27"/>
  <c r="E26" i="27"/>
  <c r="E27" i="27"/>
  <c r="E28" i="27"/>
  <c r="E29" i="27"/>
  <c r="E30" i="27"/>
  <c r="E31" i="27"/>
  <c r="E32" i="27"/>
  <c r="E25" i="27"/>
  <c r="D33" i="27"/>
  <c r="N399" i="26"/>
  <c r="N398" i="26"/>
  <c r="AC398" i="26" s="1"/>
  <c r="L395" i="26"/>
  <c r="L394" i="26"/>
  <c r="L351" i="26"/>
  <c r="N351" i="26" s="1"/>
  <c r="AC351" i="26" s="1"/>
  <c r="N377" i="26"/>
  <c r="AD377" i="26" s="1"/>
  <c r="N375" i="26"/>
  <c r="AE375" i="26" s="1"/>
  <c r="N373" i="26"/>
  <c r="U373" i="26" s="1"/>
  <c r="N371" i="26"/>
  <c r="N359" i="26"/>
  <c r="AC359" i="26" s="1"/>
  <c r="AE359" i="26" s="1"/>
  <c r="N321" i="26"/>
  <c r="AE321" i="26" s="1"/>
  <c r="N389" i="26"/>
  <c r="AC389" i="26" s="1"/>
  <c r="N402" i="26"/>
  <c r="AC402" i="26" s="1"/>
  <c r="N404" i="26"/>
  <c r="AC404" i="26" s="1"/>
  <c r="N406" i="26"/>
  <c r="AC406" i="26" s="1"/>
  <c r="N408" i="26"/>
  <c r="AC408" i="26" s="1"/>
  <c r="N387" i="26"/>
  <c r="AC387" i="26" s="1"/>
  <c r="AE387" i="26" s="1"/>
  <c r="N385" i="26"/>
  <c r="AC385" i="26" s="1"/>
  <c r="L383" i="26"/>
  <c r="L381" i="26"/>
  <c r="N301" i="26"/>
  <c r="U301" i="26" s="1"/>
  <c r="N306" i="26"/>
  <c r="U306" i="26" s="1"/>
  <c r="V306" i="26" s="1"/>
  <c r="U294" i="26"/>
  <c r="V294" i="26" s="1"/>
  <c r="U296" i="26"/>
  <c r="V296" i="26" s="1"/>
  <c r="U298" i="26"/>
  <c r="V298" i="26" s="1"/>
  <c r="U287" i="26"/>
  <c r="V287" i="26" s="1"/>
  <c r="U279" i="26"/>
  <c r="V279" i="26" s="1"/>
  <c r="U289" i="26"/>
  <c r="V281" i="26"/>
  <c r="U283" i="26"/>
  <c r="V283" i="26" s="1"/>
  <c r="U274" i="26"/>
  <c r="V274" i="26" s="1"/>
  <c r="N263" i="26"/>
  <c r="U263" i="26" s="1"/>
  <c r="V263" i="26" s="1"/>
  <c r="N267" i="26"/>
  <c r="U267" i="26" s="1"/>
  <c r="N270" i="26"/>
  <c r="U270" i="26" s="1"/>
  <c r="V270" i="26" s="1"/>
  <c r="N273" i="26"/>
  <c r="U273" i="26" s="1"/>
  <c r="N251" i="26"/>
  <c r="U251" i="26" s="1"/>
  <c r="V251" i="26" s="1"/>
  <c r="N244" i="26"/>
  <c r="U244" i="26" s="1"/>
  <c r="V244" i="26" s="1"/>
  <c r="N246" i="26"/>
  <c r="U246" i="26" s="1"/>
  <c r="V246" i="26" s="1"/>
  <c r="N248" i="26"/>
  <c r="U248" i="26" s="1"/>
  <c r="N250" i="26"/>
  <c r="U250" i="26" s="1"/>
  <c r="N242" i="26"/>
  <c r="U242" i="26" s="1"/>
  <c r="N233" i="26"/>
  <c r="U233" i="26" s="1"/>
  <c r="V233" i="26" s="1"/>
  <c r="N235" i="26"/>
  <c r="U235" i="26" s="1"/>
  <c r="N237" i="26"/>
  <c r="U237" i="26" s="1"/>
  <c r="V237" i="26" s="1"/>
  <c r="N228" i="26"/>
  <c r="U228" i="26" s="1"/>
  <c r="N218" i="26"/>
  <c r="U218" i="26" s="1"/>
  <c r="V218" i="26" s="1"/>
  <c r="N220" i="26"/>
  <c r="U220" i="26" s="1"/>
  <c r="N222" i="26"/>
  <c r="U222" i="26" s="1"/>
  <c r="N224" i="26"/>
  <c r="U224" i="26" s="1"/>
  <c r="N227" i="26"/>
  <c r="U227" i="26" s="1"/>
  <c r="V227" i="26" s="1"/>
  <c r="N214" i="26"/>
  <c r="U214" i="26" s="1"/>
  <c r="N208" i="26"/>
  <c r="U208" i="26" s="1"/>
  <c r="V208" i="26" s="1"/>
  <c r="N201" i="26"/>
  <c r="U201" i="26" s="1"/>
  <c r="V201" i="26" s="1"/>
  <c r="N204" i="26"/>
  <c r="U204" i="26" s="1"/>
  <c r="V204" i="26" s="1"/>
  <c r="N206" i="26"/>
  <c r="U206" i="26" s="1"/>
  <c r="N199" i="26"/>
  <c r="U199" i="26" s="1"/>
  <c r="N188" i="26"/>
  <c r="U188" i="26" s="1"/>
  <c r="N190" i="26"/>
  <c r="U190" i="26" s="1"/>
  <c r="V190" i="26" s="1"/>
  <c r="N192" i="26"/>
  <c r="U192" i="26" s="1"/>
  <c r="N194" i="26"/>
  <c r="U194" i="26" s="1"/>
  <c r="V194" i="26" s="1"/>
  <c r="N196" i="26"/>
  <c r="U196" i="26" s="1"/>
  <c r="N198" i="26"/>
  <c r="U198" i="26" s="1"/>
  <c r="V198" i="26" s="1"/>
  <c r="N186" i="26"/>
  <c r="U186" i="26" s="1"/>
  <c r="N185" i="26"/>
  <c r="U185" i="26" s="1"/>
  <c r="V185" i="26" s="1"/>
  <c r="N177" i="26"/>
  <c r="U177" i="26" s="1"/>
  <c r="N179" i="26"/>
  <c r="U179" i="26" s="1"/>
  <c r="V179" i="26" s="1"/>
  <c r="N183" i="26"/>
  <c r="U183" i="26" s="1"/>
  <c r="N175" i="26"/>
  <c r="U175" i="26" s="1"/>
  <c r="V175" i="26" s="1"/>
  <c r="N164" i="26"/>
  <c r="U164" i="26" s="1"/>
  <c r="U160" i="26"/>
  <c r="V160" i="26" s="1"/>
  <c r="N162" i="26"/>
  <c r="U162" i="26" s="1"/>
  <c r="N167" i="26"/>
  <c r="U167" i="26" s="1"/>
  <c r="V167" i="26" s="1"/>
  <c r="N169" i="26"/>
  <c r="U169" i="26" s="1"/>
  <c r="N156" i="26"/>
  <c r="U156" i="26" s="1"/>
  <c r="V156" i="26" s="1"/>
  <c r="N153" i="26"/>
  <c r="U153" i="26" s="1"/>
  <c r="N144" i="26"/>
  <c r="U144" i="26" s="1"/>
  <c r="V144" i="26" s="1"/>
  <c r="N146" i="26"/>
  <c r="U146" i="26" s="1"/>
  <c r="N148" i="26"/>
  <c r="U148" i="26" s="1"/>
  <c r="V148" i="26" s="1"/>
  <c r="N150" i="26"/>
  <c r="U150" i="26" s="1"/>
  <c r="N154" i="26"/>
  <c r="U154" i="26" s="1"/>
  <c r="V154" i="26" s="1"/>
  <c r="N139" i="26"/>
  <c r="U139" i="26" s="1"/>
  <c r="N135" i="26"/>
  <c r="U135" i="26" s="1"/>
  <c r="V135" i="26" s="1"/>
  <c r="N126" i="26"/>
  <c r="U126" i="26" s="1"/>
  <c r="N128" i="26"/>
  <c r="U128" i="26" s="1"/>
  <c r="V128" i="26" s="1"/>
  <c r="N130" i="26"/>
  <c r="U130" i="26" s="1"/>
  <c r="N132" i="26"/>
  <c r="U132" i="26" s="1"/>
  <c r="V132" i="26" s="1"/>
  <c r="N136" i="26"/>
  <c r="U136" i="26" s="1"/>
  <c r="N123" i="26"/>
  <c r="U123" i="26" s="1"/>
  <c r="V123" i="26" s="1"/>
  <c r="N122" i="26"/>
  <c r="U122" i="26" s="1"/>
  <c r="N113" i="26"/>
  <c r="U113" i="26" s="1"/>
  <c r="V113" i="26" s="1"/>
  <c r="N117" i="26"/>
  <c r="U117" i="26" s="1"/>
  <c r="N112" i="26"/>
  <c r="U112" i="26" s="1"/>
  <c r="V112" i="26" s="1"/>
  <c r="N103" i="26"/>
  <c r="U103" i="26" s="1"/>
  <c r="N106" i="26"/>
  <c r="U106" i="26" s="1"/>
  <c r="V106" i="26" s="1"/>
  <c r="N110" i="26"/>
  <c r="U110" i="26" s="1"/>
  <c r="N102" i="26"/>
  <c r="U102" i="26" s="1"/>
  <c r="V102" i="26" s="1"/>
  <c r="N91" i="26"/>
  <c r="U91" i="26" s="1"/>
  <c r="N93" i="26"/>
  <c r="U93" i="26" s="1"/>
  <c r="V93" i="26" s="1"/>
  <c r="N95" i="26"/>
  <c r="U95" i="26" s="1"/>
  <c r="N98" i="26"/>
  <c r="U98" i="26" s="1"/>
  <c r="V98" i="26" s="1"/>
  <c r="N99" i="26"/>
  <c r="U99" i="26" s="1"/>
  <c r="N86" i="26"/>
  <c r="U86" i="26" s="1"/>
  <c r="V86" i="26" s="1"/>
  <c r="N83" i="26"/>
  <c r="U83" i="26" s="1"/>
  <c r="N84" i="26"/>
  <c r="U84" i="26" s="1"/>
  <c r="V84" i="26" s="1"/>
  <c r="N76" i="26"/>
  <c r="U76" i="26" s="1"/>
  <c r="N66" i="26"/>
  <c r="U66" i="26" s="1"/>
  <c r="V66" i="26" s="1"/>
  <c r="N70" i="26"/>
  <c r="U70" i="26" s="1"/>
  <c r="N75" i="26"/>
  <c r="U75" i="26" s="1"/>
  <c r="V75" i="26" s="1"/>
  <c r="N63" i="26"/>
  <c r="U63" i="26" s="1"/>
  <c r="N51" i="26"/>
  <c r="U51" i="26" s="1"/>
  <c r="V51" i="26" s="1"/>
  <c r="N57" i="26"/>
  <c r="U57" i="26" s="1"/>
  <c r="N61" i="26"/>
  <c r="U61" i="26" s="1"/>
  <c r="V61" i="26" s="1"/>
  <c r="N24" i="26"/>
  <c r="U24" i="26" s="1"/>
  <c r="N26" i="26"/>
  <c r="U26" i="26" s="1"/>
  <c r="V26" i="26" s="1"/>
  <c r="N31" i="26"/>
  <c r="U31" i="26" s="1"/>
  <c r="N34" i="26"/>
  <c r="U34" i="26" s="1"/>
  <c r="V34" i="26" s="1"/>
  <c r="N36" i="26"/>
  <c r="U36" i="26" s="1"/>
  <c r="V36" i="26" s="1"/>
  <c r="N37" i="26"/>
  <c r="U37" i="26" s="1"/>
  <c r="V37" i="26" s="1"/>
  <c r="N23" i="26"/>
  <c r="U23" i="26" s="1"/>
  <c r="N14" i="26"/>
  <c r="U14" i="26" s="1"/>
  <c r="V14" i="26" s="1"/>
  <c r="N15" i="26"/>
  <c r="U15" i="26" s="1"/>
  <c r="N18" i="26"/>
  <c r="U18" i="26" s="1"/>
  <c r="V18" i="26" s="1"/>
  <c r="N10" i="26"/>
  <c r="U10" i="26" s="1"/>
  <c r="N2" i="26"/>
  <c r="U2" i="26" s="1"/>
  <c r="N418" i="26"/>
  <c r="AR418" i="26"/>
  <c r="AQ418" i="26"/>
  <c r="AP418" i="26"/>
  <c r="N417" i="26"/>
  <c r="AC417" i="26" s="1"/>
  <c r="AR417" i="26"/>
  <c r="AQ417" i="26"/>
  <c r="AP417" i="26"/>
  <c r="N416" i="26"/>
  <c r="AC416" i="26" s="1"/>
  <c r="AR416" i="26"/>
  <c r="AQ416" i="26"/>
  <c r="AP416" i="26"/>
  <c r="N415" i="26"/>
  <c r="AC415" i="26" s="1"/>
  <c r="AR415" i="26"/>
  <c r="AQ415" i="26"/>
  <c r="AP415" i="26"/>
  <c r="AR414" i="26"/>
  <c r="N411" i="26"/>
  <c r="AR411" i="26"/>
  <c r="AQ411" i="26"/>
  <c r="AP411" i="26"/>
  <c r="N410" i="26"/>
  <c r="AC410" i="26" s="1"/>
  <c r="AR410" i="26"/>
  <c r="AQ410" i="26"/>
  <c r="AP410" i="26"/>
  <c r="AR408" i="26"/>
  <c r="AQ408" i="26"/>
  <c r="AP408" i="26"/>
  <c r="AR406" i="26"/>
  <c r="AQ406" i="26"/>
  <c r="AP406" i="26"/>
  <c r="AR404" i="26"/>
  <c r="AQ404" i="26"/>
  <c r="AP404" i="26"/>
  <c r="AR402" i="26"/>
  <c r="AQ402" i="26"/>
  <c r="AP402" i="26"/>
  <c r="AF400" i="26"/>
  <c r="N400" i="26"/>
  <c r="AR400" i="26"/>
  <c r="AQ400" i="26"/>
  <c r="AP400" i="26"/>
  <c r="AE409" i="26"/>
  <c r="AD409" i="26"/>
  <c r="U409" i="26"/>
  <c r="AE407" i="26"/>
  <c r="AD407" i="26"/>
  <c r="U407" i="26"/>
  <c r="AE405" i="26"/>
  <c r="AD405" i="26"/>
  <c r="U405" i="26"/>
  <c r="AE403" i="26"/>
  <c r="AD403" i="26"/>
  <c r="U403" i="26"/>
  <c r="AE401" i="26"/>
  <c r="AD401" i="26"/>
  <c r="W401" i="26"/>
  <c r="AR399" i="26"/>
  <c r="AQ399" i="26"/>
  <c r="AP399" i="26"/>
  <c r="AR398" i="26"/>
  <c r="AQ398" i="26"/>
  <c r="T398" i="26"/>
  <c r="AF397" i="26"/>
  <c r="N397" i="26"/>
  <c r="AR397" i="26"/>
  <c r="AQ397" i="26"/>
  <c r="T397" i="26"/>
  <c r="N396" i="26"/>
  <c r="AC396" i="26" s="1"/>
  <c r="AD396" i="26" s="1"/>
  <c r="AR396" i="26"/>
  <c r="AQ396" i="26"/>
  <c r="AP396" i="26"/>
  <c r="T396" i="26"/>
  <c r="AR395" i="26"/>
  <c r="AQ395" i="26"/>
  <c r="AP395" i="26"/>
  <c r="AC395" i="26"/>
  <c r="AE395" i="26" s="1"/>
  <c r="T395" i="26"/>
  <c r="AR394" i="26"/>
  <c r="AQ394" i="26"/>
  <c r="AP394" i="26"/>
  <c r="AC394" i="26"/>
  <c r="AE394" i="26" s="1"/>
  <c r="T394" i="26"/>
  <c r="AR389" i="26"/>
  <c r="AP389" i="26"/>
  <c r="T389" i="26"/>
  <c r="AR387" i="26"/>
  <c r="AQ387" i="26"/>
  <c r="AP387" i="26"/>
  <c r="T387" i="26"/>
  <c r="AR385" i="26"/>
  <c r="AQ385" i="26"/>
  <c r="AP385" i="26"/>
  <c r="T385" i="26"/>
  <c r="AR383" i="26"/>
  <c r="AQ383" i="26"/>
  <c r="AP383" i="26"/>
  <c r="AE383" i="26"/>
  <c r="T383" i="26"/>
  <c r="AR381" i="26"/>
  <c r="AQ381" i="26"/>
  <c r="AP381" i="26"/>
  <c r="AC381" i="26"/>
  <c r="AD381" i="26" s="1"/>
  <c r="T381" i="26"/>
  <c r="N390" i="26"/>
  <c r="AD390" i="26" s="1"/>
  <c r="N388" i="26"/>
  <c r="AE388" i="26" s="1"/>
  <c r="N386" i="26"/>
  <c r="AE386" i="26" s="1"/>
  <c r="N384" i="26"/>
  <c r="AE384" i="26" s="1"/>
  <c r="N382" i="26"/>
  <c r="AD382" i="26" s="1"/>
  <c r="N380" i="26"/>
  <c r="AE380" i="26" s="1"/>
  <c r="N379" i="26"/>
  <c r="AC379" i="26" s="1"/>
  <c r="N378" i="26"/>
  <c r="AC378" i="26" s="1"/>
  <c r="AE378" i="26" s="1"/>
  <c r="AL378" i="26"/>
  <c r="N376" i="26"/>
  <c r="AC376" i="26" s="1"/>
  <c r="AL376" i="26"/>
  <c r="AK376" i="26"/>
  <c r="N374" i="26"/>
  <c r="AC374" i="26" s="1"/>
  <c r="AL374" i="26"/>
  <c r="AK374" i="26"/>
  <c r="N372" i="26"/>
  <c r="AC372" i="26" s="1"/>
  <c r="AD372" i="26" s="1"/>
  <c r="AL372" i="26"/>
  <c r="AK372" i="26"/>
  <c r="N370" i="26"/>
  <c r="AC370" i="26" s="1"/>
  <c r="N369" i="26"/>
  <c r="AC369" i="26" s="1"/>
  <c r="N368" i="26"/>
  <c r="AC368" i="26" s="1"/>
  <c r="AE368" i="26" s="1"/>
  <c r="AL368" i="26"/>
  <c r="N366" i="26"/>
  <c r="AC366" i="26" s="1"/>
  <c r="AL366" i="26"/>
  <c r="L364" i="26"/>
  <c r="N364" i="26" s="1"/>
  <c r="AC364" i="26" s="1"/>
  <c r="N362" i="26"/>
  <c r="AC362" i="26" s="1"/>
  <c r="AD362" i="26" s="1"/>
  <c r="N360" i="26"/>
  <c r="AC360" i="26" s="1"/>
  <c r="AD360" i="26" s="1"/>
  <c r="N367" i="26"/>
  <c r="AE367" i="26" s="1"/>
  <c r="N365" i="26"/>
  <c r="AD365" i="26" s="1"/>
  <c r="N363" i="26"/>
  <c r="AE363" i="26" s="1"/>
  <c r="N361" i="26"/>
  <c r="AE361" i="26" s="1"/>
  <c r="AC358" i="26"/>
  <c r="AE358" i="26" s="1"/>
  <c r="AL356" i="26"/>
  <c r="AK356" i="26"/>
  <c r="AC356" i="26"/>
  <c r="AE356" i="26" s="1"/>
  <c r="AL354" i="26"/>
  <c r="AK354" i="26"/>
  <c r="AC354" i="26"/>
  <c r="AD354" i="26" s="1"/>
  <c r="AL351" i="26"/>
  <c r="AK351" i="26"/>
  <c r="AC350" i="26"/>
  <c r="AE357" i="26"/>
  <c r="AD357" i="26"/>
  <c r="U357" i="26"/>
  <c r="AE355" i="26"/>
  <c r="AD355" i="26"/>
  <c r="U355" i="26"/>
  <c r="AE352" i="26"/>
  <c r="AD352" i="26"/>
  <c r="U352" i="26"/>
  <c r="AE349" i="26"/>
  <c r="AD349" i="26"/>
  <c r="U349" i="26"/>
  <c r="AC348" i="26"/>
  <c r="AE348" i="26" s="1"/>
  <c r="AL346" i="26"/>
  <c r="AK346" i="26"/>
  <c r="AC346" i="26"/>
  <c r="AD346" i="26" s="1"/>
  <c r="AL344" i="26"/>
  <c r="AK344" i="26"/>
  <c r="AC344" i="26"/>
  <c r="AD344" i="26" s="1"/>
  <c r="AL341" i="26"/>
  <c r="AK341" i="26"/>
  <c r="AC341" i="26"/>
  <c r="AD341" i="26" s="1"/>
  <c r="AC340" i="26"/>
  <c r="AD340" i="26" s="1"/>
  <c r="AE347" i="26"/>
  <c r="AD347" i="26"/>
  <c r="U347" i="26"/>
  <c r="AE345" i="26"/>
  <c r="AD345" i="26"/>
  <c r="U345" i="26"/>
  <c r="AE342" i="26"/>
  <c r="U342" i="26"/>
  <c r="AE339" i="26"/>
  <c r="AD339" i="26"/>
  <c r="U339" i="26"/>
  <c r="AC338" i="26"/>
  <c r="AE338" i="26" s="1"/>
  <c r="AC335" i="26"/>
  <c r="AE335" i="26" s="1"/>
  <c r="AC333" i="26"/>
  <c r="AC330" i="26"/>
  <c r="AD330" i="26" s="1"/>
  <c r="AC327" i="26"/>
  <c r="AE327" i="26" s="1"/>
  <c r="N320" i="26"/>
  <c r="AC320" i="26" s="1"/>
  <c r="AE336" i="26"/>
  <c r="AD336" i="26"/>
  <c r="U336" i="26"/>
  <c r="AE334" i="26"/>
  <c r="AD334" i="26"/>
  <c r="U334" i="26"/>
  <c r="AE331" i="26"/>
  <c r="AD331" i="26"/>
  <c r="U331" i="26"/>
  <c r="AE329" i="26"/>
  <c r="AD329" i="26"/>
  <c r="U329" i="26"/>
  <c r="N326" i="26"/>
  <c r="U326" i="26" s="1"/>
  <c r="AC319" i="26"/>
  <c r="AD319" i="26" s="1"/>
  <c r="AC316" i="26"/>
  <c r="AE316" i="26" s="1"/>
  <c r="AC314" i="26"/>
  <c r="AD314" i="26" s="1"/>
  <c r="AC311" i="26"/>
  <c r="AC310" i="26"/>
  <c r="AD310" i="26" s="1"/>
  <c r="AC307" i="26"/>
  <c r="AE307" i="26" s="1"/>
  <c r="L300" i="26"/>
  <c r="AE317" i="26"/>
  <c r="AD317" i="26"/>
  <c r="U317" i="26"/>
  <c r="AE315" i="26"/>
  <c r="AD315" i="26"/>
  <c r="U315" i="26"/>
  <c r="AE312" i="26"/>
  <c r="AD312" i="26"/>
  <c r="U312" i="26"/>
  <c r="AE309" i="26"/>
  <c r="AD309" i="26"/>
  <c r="U309" i="26"/>
  <c r="V309" i="26" s="1"/>
  <c r="N299" i="26"/>
  <c r="AC299" i="26" s="1"/>
  <c r="AC297" i="26"/>
  <c r="AD297" i="26" s="1"/>
  <c r="AC295" i="26"/>
  <c r="AE295" i="26" s="1"/>
  <c r="AC293" i="26"/>
  <c r="AE293" i="26" s="1"/>
  <c r="AC291" i="26"/>
  <c r="N290" i="26"/>
  <c r="AC290" i="26" s="1"/>
  <c r="AC288" i="26"/>
  <c r="AD288" i="26" s="1"/>
  <c r="AE298" i="26"/>
  <c r="AD298" i="26"/>
  <c r="AE296" i="26"/>
  <c r="AD296" i="26"/>
  <c r="AE294" i="26"/>
  <c r="AD294" i="26"/>
  <c r="AE292" i="26"/>
  <c r="AD292" i="26"/>
  <c r="AE289" i="26"/>
  <c r="AD289" i="26"/>
  <c r="AE287" i="26"/>
  <c r="AD287" i="26"/>
  <c r="N286" i="26"/>
  <c r="AC286" i="26" s="1"/>
  <c r="AC284" i="26"/>
  <c r="AE284" i="26" s="1"/>
  <c r="AC282" i="26"/>
  <c r="AE282" i="26" s="1"/>
  <c r="AC280" i="26"/>
  <c r="AE280" i="26" s="1"/>
  <c r="AC278" i="26"/>
  <c r="AE278" i="26" s="1"/>
  <c r="N277" i="26"/>
  <c r="AC277" i="26" s="1"/>
  <c r="AC275" i="26"/>
  <c r="AE275" i="26" s="1"/>
  <c r="N272" i="26"/>
  <c r="AC272" i="26" s="1"/>
  <c r="N271" i="26"/>
  <c r="AC271" i="26" s="1"/>
  <c r="N269" i="26"/>
  <c r="AC269" i="26" s="1"/>
  <c r="N266" i="26"/>
  <c r="AC266" i="26" s="1"/>
  <c r="N265" i="26"/>
  <c r="AC265" i="26" s="1"/>
  <c r="N264" i="26"/>
  <c r="AC264" i="26" s="1"/>
  <c r="B264" i="26"/>
  <c r="N262" i="26"/>
  <c r="AC262" i="26" s="1"/>
  <c r="AE262" i="26" s="1"/>
  <c r="N261" i="26"/>
  <c r="AC261" i="26" s="1"/>
  <c r="AE261" i="26" s="1"/>
  <c r="N260" i="26"/>
  <c r="AC260" i="26" s="1"/>
  <c r="AE260" i="26" s="1"/>
  <c r="B260" i="26"/>
  <c r="AC256" i="26"/>
  <c r="N254" i="26"/>
  <c r="AC254" i="26" s="1"/>
  <c r="AD254" i="26" s="1"/>
  <c r="N259" i="26"/>
  <c r="N258" i="26"/>
  <c r="N257" i="26"/>
  <c r="N255" i="26"/>
  <c r="N252" i="26"/>
  <c r="N268" i="26"/>
  <c r="N253" i="26"/>
  <c r="N249" i="26"/>
  <c r="AC249" i="26" s="1"/>
  <c r="AE249" i="26" s="1"/>
  <c r="N247" i="26"/>
  <c r="AC247" i="26" s="1"/>
  <c r="AE247" i="26" s="1"/>
  <c r="N245" i="26"/>
  <c r="AC245" i="26" s="1"/>
  <c r="AE245" i="26" s="1"/>
  <c r="N243" i="26"/>
  <c r="AC243" i="26" s="1"/>
  <c r="AE243" i="26" s="1"/>
  <c r="N241" i="26"/>
  <c r="AC241" i="26" s="1"/>
  <c r="N240" i="26"/>
  <c r="AC240" i="26" s="1"/>
  <c r="N238" i="26"/>
  <c r="AC238" i="26" s="1"/>
  <c r="N236" i="26"/>
  <c r="AC236" i="26" s="1"/>
  <c r="N234" i="26"/>
  <c r="AC234" i="26" s="1"/>
  <c r="N232" i="26"/>
  <c r="AC232" i="26" s="1"/>
  <c r="N231" i="26"/>
  <c r="AC231" i="26" s="1"/>
  <c r="N239" i="26"/>
  <c r="N230" i="26"/>
  <c r="N226" i="26"/>
  <c r="AC226" i="26" s="1"/>
  <c r="N225" i="26"/>
  <c r="AC225" i="26" s="1"/>
  <c r="N223" i="26"/>
  <c r="AC223" i="26" s="1"/>
  <c r="AE223" i="26" s="1"/>
  <c r="N221" i="26"/>
  <c r="AC221" i="26" s="1"/>
  <c r="N219" i="26"/>
  <c r="AC219" i="26" s="1"/>
  <c r="N217" i="26"/>
  <c r="AC217" i="26" s="1"/>
  <c r="N216" i="26"/>
  <c r="AC216" i="26" s="1"/>
  <c r="AE216" i="26" s="1"/>
  <c r="N215" i="26"/>
  <c r="AC215" i="26" s="1"/>
  <c r="N213" i="26"/>
  <c r="AC213" i="26" s="1"/>
  <c r="N212" i="26"/>
  <c r="AC212" i="26" s="1"/>
  <c r="N211" i="26"/>
  <c r="AC211" i="26" s="1"/>
  <c r="N209" i="26"/>
  <c r="AC209" i="26" s="1"/>
  <c r="N207" i="26"/>
  <c r="AC207" i="26" s="1"/>
  <c r="N205" i="26"/>
  <c r="AC205" i="26" s="1"/>
  <c r="N203" i="26"/>
  <c r="AC203" i="26" s="1"/>
  <c r="N202" i="26"/>
  <c r="AC202" i="26" s="1"/>
  <c r="N200" i="26"/>
  <c r="AC200" i="26" s="1"/>
  <c r="N210" i="26"/>
  <c r="N197" i="26"/>
  <c r="AC197" i="26" s="1"/>
  <c r="N195" i="26"/>
  <c r="AC195" i="26" s="1"/>
  <c r="N193" i="26"/>
  <c r="AC193" i="26" s="1"/>
  <c r="N191" i="26"/>
  <c r="AC191" i="26" s="1"/>
  <c r="N189" i="26"/>
  <c r="AC189" i="26" s="1"/>
  <c r="N187" i="26"/>
  <c r="AC187" i="26" s="1"/>
  <c r="N184" i="26"/>
  <c r="AC184" i="26" s="1"/>
  <c r="AE184" i="26" s="1"/>
  <c r="N182" i="26"/>
  <c r="AC182" i="26" s="1"/>
  <c r="AD182" i="26" s="1"/>
  <c r="N181" i="26"/>
  <c r="AC181" i="26" s="1"/>
  <c r="AE181" i="26" s="1"/>
  <c r="N180" i="26"/>
  <c r="AC180" i="26" s="1"/>
  <c r="AE180" i="26" s="1"/>
  <c r="N178" i="26"/>
  <c r="AC178" i="26" s="1"/>
  <c r="AE178" i="26" s="1"/>
  <c r="N176" i="26"/>
  <c r="AC176" i="26" s="1"/>
  <c r="AD176" i="26" s="1"/>
  <c r="N174" i="26"/>
  <c r="AC174" i="26" s="1"/>
  <c r="AE174" i="26" s="1"/>
  <c r="N172" i="26"/>
  <c r="AC172" i="26" s="1"/>
  <c r="AD172" i="26" s="1"/>
  <c r="N170" i="26"/>
  <c r="AC170" i="26" s="1"/>
  <c r="AE170" i="26" s="1"/>
  <c r="N173" i="26"/>
  <c r="N171" i="26"/>
  <c r="N168" i="26"/>
  <c r="AC168" i="26" s="1"/>
  <c r="N166" i="26"/>
  <c r="AC166" i="26" s="1"/>
  <c r="N165" i="26"/>
  <c r="AC165" i="26" s="1"/>
  <c r="AE165" i="26" s="1"/>
  <c r="N163" i="26"/>
  <c r="AC163" i="26" s="1"/>
  <c r="AE163" i="26" s="1"/>
  <c r="N161" i="26"/>
  <c r="AC161" i="26" s="1"/>
  <c r="AE161" i="26" s="1"/>
  <c r="N159" i="26"/>
  <c r="AC159" i="26" s="1"/>
  <c r="AE159" i="26" s="1"/>
  <c r="N158" i="26"/>
  <c r="AC158" i="26" s="1"/>
  <c r="AE158" i="26" s="1"/>
  <c r="N155" i="26"/>
  <c r="AC155" i="26" s="1"/>
  <c r="N151" i="26"/>
  <c r="AC151" i="26" s="1"/>
  <c r="AE151" i="26" s="1"/>
  <c r="N149" i="26"/>
  <c r="AC149" i="26" s="1"/>
  <c r="N147" i="26"/>
  <c r="AC147" i="26" s="1"/>
  <c r="AE147" i="26" s="1"/>
  <c r="N145" i="26"/>
  <c r="AC145" i="26" s="1"/>
  <c r="AE145" i="26" s="1"/>
  <c r="N143" i="26"/>
  <c r="AC143" i="26" s="1"/>
  <c r="N152" i="26"/>
  <c r="N142" i="26"/>
  <c r="N138" i="26"/>
  <c r="AC138" i="26" s="1"/>
  <c r="AD138" i="26" s="1"/>
  <c r="N137" i="26"/>
  <c r="AC137" i="26" s="1"/>
  <c r="N133" i="26"/>
  <c r="AC133" i="26" s="1"/>
  <c r="AD133" i="26" s="1"/>
  <c r="N131" i="26"/>
  <c r="AC131" i="26" s="1"/>
  <c r="N129" i="26"/>
  <c r="AC129" i="26" s="1"/>
  <c r="AD129" i="26" s="1"/>
  <c r="N127" i="26"/>
  <c r="AC127" i="26" s="1"/>
  <c r="AD127" i="26" s="1"/>
  <c r="N125" i="26"/>
  <c r="AC125" i="26" s="1"/>
  <c r="N134" i="26"/>
  <c r="N121" i="26"/>
  <c r="AC121" i="26" s="1"/>
  <c r="N120" i="26"/>
  <c r="AC120" i="26" s="1"/>
  <c r="N119" i="26"/>
  <c r="AC119" i="26" s="1"/>
  <c r="N118" i="26"/>
  <c r="AC118" i="26" s="1"/>
  <c r="AC116" i="26"/>
  <c r="N115" i="26"/>
  <c r="AC115" i="26" s="1"/>
  <c r="N114" i="26"/>
  <c r="AC114" i="26" s="1"/>
  <c r="N111" i="26"/>
  <c r="AC111" i="26" s="1"/>
  <c r="N109" i="26"/>
  <c r="AC109" i="26" s="1"/>
  <c r="N108" i="26"/>
  <c r="AC108" i="26" s="1"/>
  <c r="N107" i="26"/>
  <c r="AC107" i="26" s="1"/>
  <c r="N105" i="26"/>
  <c r="AC105" i="26" s="1"/>
  <c r="N104" i="26"/>
  <c r="AC104" i="26" s="1"/>
  <c r="N101" i="26"/>
  <c r="AC101" i="26" s="1"/>
  <c r="N100" i="26"/>
  <c r="AC100" i="26" s="1"/>
  <c r="N97" i="26"/>
  <c r="AC97" i="26" s="1"/>
  <c r="N96" i="26"/>
  <c r="AC96" i="26" s="1"/>
  <c r="N94" i="26"/>
  <c r="AC94" i="26" s="1"/>
  <c r="N92" i="26"/>
  <c r="AC92" i="26" s="1"/>
  <c r="N90" i="26"/>
  <c r="AC90" i="26" s="1"/>
  <c r="N89" i="26"/>
  <c r="N85" i="26"/>
  <c r="AC85" i="26" s="1"/>
  <c r="AE85" i="26" s="1"/>
  <c r="N82" i="26"/>
  <c r="AC82" i="26" s="1"/>
  <c r="AE82" i="26" s="1"/>
  <c r="N81" i="26"/>
  <c r="AC81" i="26" s="1"/>
  <c r="AE81" i="26" s="1"/>
  <c r="N80" i="26"/>
  <c r="AC80" i="26" s="1"/>
  <c r="AE80" i="26" s="1"/>
  <c r="AE79" i="26"/>
  <c r="AC79" i="26"/>
  <c r="AD79" i="26" s="1"/>
  <c r="AE78" i="26"/>
  <c r="AC78" i="26"/>
  <c r="AD78" i="26" s="1"/>
  <c r="N77" i="26"/>
  <c r="AC77" i="26" s="1"/>
  <c r="AE77" i="26" s="1"/>
  <c r="AC74" i="26"/>
  <c r="AE74" i="26" s="1"/>
  <c r="AC73" i="26"/>
  <c r="AE73" i="26" s="1"/>
  <c r="N71" i="26"/>
  <c r="AC71" i="26" s="1"/>
  <c r="N69" i="26"/>
  <c r="AC69" i="26" s="1"/>
  <c r="N68" i="26"/>
  <c r="AC68" i="26" s="1"/>
  <c r="AC67" i="26"/>
  <c r="AE67" i="26" s="1"/>
  <c r="N65" i="26"/>
  <c r="AC65" i="26" s="1"/>
  <c r="AE65" i="26" s="1"/>
  <c r="N64" i="26"/>
  <c r="N72" i="26"/>
  <c r="AC62" i="26"/>
  <c r="AE62" i="26" s="1"/>
  <c r="AC60" i="26"/>
  <c r="AE60" i="26" s="1"/>
  <c r="N59" i="26"/>
  <c r="AC59" i="26" s="1"/>
  <c r="AE59" i="26" s="1"/>
  <c r="AC58" i="26"/>
  <c r="AD58" i="26" s="1"/>
  <c r="N56" i="26"/>
  <c r="AC56" i="26" s="1"/>
  <c r="AD56" i="26" s="1"/>
  <c r="N55" i="26"/>
  <c r="AC55" i="26" s="1"/>
  <c r="AC54" i="26"/>
  <c r="AD54" i="26" s="1"/>
  <c r="N53" i="26"/>
  <c r="AC53" i="26" s="1"/>
  <c r="N52" i="26"/>
  <c r="N49" i="26"/>
  <c r="AC49" i="26" s="1"/>
  <c r="AE49" i="26" s="1"/>
  <c r="N48" i="26"/>
  <c r="AC48" i="26" s="1"/>
  <c r="AE48" i="26" s="1"/>
  <c r="N46" i="26"/>
  <c r="AC46" i="26" s="1"/>
  <c r="AE46" i="26" s="1"/>
  <c r="N45" i="26"/>
  <c r="AC45" i="26" s="1"/>
  <c r="AE45" i="26" s="1"/>
  <c r="N43" i="26"/>
  <c r="AC43" i="26" s="1"/>
  <c r="AE43" i="26" s="1"/>
  <c r="N42" i="26"/>
  <c r="AC42" i="26" s="1"/>
  <c r="AE42" i="26" s="1"/>
  <c r="N41" i="26"/>
  <c r="AC41" i="26" s="1"/>
  <c r="AE41" i="26" s="1"/>
  <c r="N40" i="26"/>
  <c r="AC29" i="26"/>
  <c r="AE29" i="26" s="1"/>
  <c r="AC28" i="26"/>
  <c r="AD28" i="26" s="1"/>
  <c r="AC27" i="26"/>
  <c r="AE27" i="26" s="1"/>
  <c r="AC25" i="26"/>
  <c r="AE25" i="26" s="1"/>
  <c r="N20" i="26"/>
  <c r="AC20" i="26" s="1"/>
  <c r="N22" i="26"/>
  <c r="AC22" i="26" s="1"/>
  <c r="N21" i="26"/>
  <c r="AC21" i="26" s="1"/>
  <c r="N17" i="26"/>
  <c r="AC17" i="26" s="1"/>
  <c r="N13" i="26"/>
  <c r="AC13" i="26" s="1"/>
  <c r="N11" i="26"/>
  <c r="AC11" i="26" s="1"/>
  <c r="AD11" i="26" s="1"/>
  <c r="N9" i="26"/>
  <c r="AC9" i="26" s="1"/>
  <c r="N8" i="26"/>
  <c r="N7" i="26"/>
  <c r="AE371" i="26" l="1"/>
  <c r="U371" i="26"/>
  <c r="V371" i="26" s="1"/>
  <c r="AE31" i="26"/>
  <c r="AD50" i="26"/>
  <c r="AE112" i="26"/>
  <c r="W296" i="26"/>
  <c r="AD38" i="26"/>
  <c r="AE38" i="26"/>
  <c r="AE50" i="26"/>
  <c r="AE98" i="26"/>
  <c r="AE18" i="26"/>
  <c r="AD301" i="26"/>
  <c r="AD188" i="26"/>
  <c r="W306" i="26"/>
  <c r="AE377" i="26"/>
  <c r="AD306" i="26"/>
  <c r="AD415" i="26"/>
  <c r="AE415" i="26"/>
  <c r="AE417" i="26"/>
  <c r="AD417" i="26"/>
  <c r="AE385" i="26"/>
  <c r="AD385" i="26"/>
  <c r="AC399" i="26"/>
  <c r="AE399" i="26" s="1"/>
  <c r="AE416" i="26"/>
  <c r="AD416" i="26"/>
  <c r="AC418" i="26"/>
  <c r="AD418" i="26" s="1"/>
  <c r="AD389" i="26"/>
  <c r="AE389" i="26"/>
  <c r="N300" i="26"/>
  <c r="AC300" i="26" s="1"/>
  <c r="AC400" i="26"/>
  <c r="AE400" i="26" s="1"/>
  <c r="AD206" i="26"/>
  <c r="AE83" i="26"/>
  <c r="AD194" i="26"/>
  <c r="AD208" i="26"/>
  <c r="AD251" i="26"/>
  <c r="AE301" i="26"/>
  <c r="W128" i="26"/>
  <c r="AE183" i="26"/>
  <c r="AE306" i="26"/>
  <c r="AE374" i="26"/>
  <c r="AD374" i="26"/>
  <c r="AE24" i="26"/>
  <c r="AD24" i="26"/>
  <c r="AE15" i="26"/>
  <c r="U292" i="26"/>
  <c r="V292" i="26" s="1"/>
  <c r="AE23" i="26"/>
  <c r="AE84" i="26"/>
  <c r="AD123" i="26"/>
  <c r="AD167" i="26"/>
  <c r="AD61" i="26"/>
  <c r="AD185" i="26"/>
  <c r="AE95" i="26"/>
  <c r="AD117" i="26"/>
  <c r="AD70" i="26"/>
  <c r="AD153" i="26"/>
  <c r="AD273" i="26"/>
  <c r="AE37" i="26"/>
  <c r="AD83" i="26"/>
  <c r="AE136" i="26"/>
  <c r="AE248" i="26"/>
  <c r="AD162" i="26"/>
  <c r="AE206" i="26"/>
  <c r="AD57" i="26"/>
  <c r="AD371" i="26"/>
  <c r="AE162" i="26"/>
  <c r="AD37" i="26"/>
  <c r="AD136" i="26"/>
  <c r="AD248" i="26"/>
  <c r="E33" i="27"/>
  <c r="AE410" i="26"/>
  <c r="AE273" i="26"/>
  <c r="AD95" i="26"/>
  <c r="AE70" i="26"/>
  <c r="AE117" i="26"/>
  <c r="AE153" i="26"/>
  <c r="AD214" i="26"/>
  <c r="AE214" i="26"/>
  <c r="AD126" i="26"/>
  <c r="AD192" i="26"/>
  <c r="AD235" i="26"/>
  <c r="AD279" i="26"/>
  <c r="AE126" i="26"/>
  <c r="AD183" i="26"/>
  <c r="AE192" i="26"/>
  <c r="AE235" i="26"/>
  <c r="AD36" i="26"/>
  <c r="AD196" i="26"/>
  <c r="AE36" i="26"/>
  <c r="V289" i="26"/>
  <c r="W289" i="26"/>
  <c r="U276" i="26"/>
  <c r="V276" i="26" s="1"/>
  <c r="W352" i="26"/>
  <c r="V352" i="26"/>
  <c r="AD146" i="26"/>
  <c r="W342" i="26"/>
  <c r="V342" i="26"/>
  <c r="W312" i="26"/>
  <c r="V312" i="26"/>
  <c r="W334" i="26"/>
  <c r="V334" i="26"/>
  <c r="V407" i="26"/>
  <c r="W407" i="26"/>
  <c r="AC411" i="26"/>
  <c r="AD411" i="26" s="1"/>
  <c r="W326" i="26"/>
  <c r="V326" i="26"/>
  <c r="W355" i="26"/>
  <c r="V355" i="26"/>
  <c r="W301" i="26"/>
  <c r="V301" i="26"/>
  <c r="W329" i="26"/>
  <c r="V329" i="26"/>
  <c r="W345" i="26"/>
  <c r="V345" i="26"/>
  <c r="W403" i="26"/>
  <c r="V403" i="26"/>
  <c r="W317" i="26"/>
  <c r="V317" i="26"/>
  <c r="W373" i="26"/>
  <c r="V373" i="26"/>
  <c r="W315" i="26"/>
  <c r="V315" i="26"/>
  <c r="W336" i="26"/>
  <c r="V336" i="26"/>
  <c r="W349" i="26"/>
  <c r="V349" i="26"/>
  <c r="W409" i="26"/>
  <c r="V409" i="26"/>
  <c r="W339" i="26"/>
  <c r="V339" i="26"/>
  <c r="W357" i="26"/>
  <c r="V357" i="26"/>
  <c r="W309" i="26"/>
  <c r="W331" i="26"/>
  <c r="V331" i="26"/>
  <c r="W347" i="26"/>
  <c r="V347" i="26"/>
  <c r="W405" i="26"/>
  <c r="V405" i="26"/>
  <c r="AD177" i="26"/>
  <c r="AE63" i="26"/>
  <c r="AD91" i="26"/>
  <c r="AD281" i="26"/>
  <c r="AD201" i="26"/>
  <c r="AE228" i="26"/>
  <c r="AD242" i="26"/>
  <c r="AE91" i="26"/>
  <c r="AD99" i="26"/>
  <c r="AE122" i="26"/>
  <c r="AE146" i="26"/>
  <c r="AE177" i="26"/>
  <c r="AE196" i="26"/>
  <c r="AE201" i="26"/>
  <c r="AD224" i="26"/>
  <c r="AD244" i="26"/>
  <c r="AD373" i="26"/>
  <c r="AE99" i="26"/>
  <c r="AD103" i="26"/>
  <c r="AD130" i="26"/>
  <c r="AD139" i="26"/>
  <c r="AD164" i="26"/>
  <c r="AE224" i="26"/>
  <c r="AE244" i="26"/>
  <c r="AD267" i="26"/>
  <c r="AD63" i="26"/>
  <c r="AE103" i="26"/>
  <c r="AE130" i="26"/>
  <c r="AE139" i="26"/>
  <c r="AE164" i="26"/>
  <c r="AD228" i="26"/>
  <c r="AE267" i="26"/>
  <c r="W281" i="26"/>
  <c r="W287" i="26"/>
  <c r="AD398" i="26"/>
  <c r="AE398" i="26"/>
  <c r="W18" i="26"/>
  <c r="AE123" i="26"/>
  <c r="AD128" i="26"/>
  <c r="W154" i="26"/>
  <c r="AE167" i="26"/>
  <c r="W175" i="26"/>
  <c r="AE185" i="26"/>
  <c r="AD199" i="26"/>
  <c r="AE208" i="26"/>
  <c r="AD250" i="26"/>
  <c r="AE251" i="26"/>
  <c r="AE373" i="26"/>
  <c r="AE61" i="26"/>
  <c r="AD18" i="26"/>
  <c r="W37" i="26"/>
  <c r="AD47" i="26"/>
  <c r="W98" i="26"/>
  <c r="AD102" i="26"/>
  <c r="AE128" i="26"/>
  <c r="AD154" i="26"/>
  <c r="AD175" i="26"/>
  <c r="AE199" i="26"/>
  <c r="AD222" i="26"/>
  <c r="W237" i="26"/>
  <c r="AE250" i="26"/>
  <c r="AD263" i="26"/>
  <c r="AE47" i="26"/>
  <c r="W61" i="26"/>
  <c r="W75" i="26"/>
  <c r="AD84" i="26"/>
  <c r="AD98" i="26"/>
  <c r="AE102" i="26"/>
  <c r="AE154" i="26"/>
  <c r="AE175" i="26"/>
  <c r="W208" i="26"/>
  <c r="AE222" i="26"/>
  <c r="W251" i="26"/>
  <c r="AE263" i="26"/>
  <c r="AD5" i="26"/>
  <c r="AE179" i="26"/>
  <c r="AE204" i="26"/>
  <c r="W50" i="26"/>
  <c r="W156" i="26"/>
  <c r="AE14" i="26"/>
  <c r="U377" i="26"/>
  <c r="W34" i="26"/>
  <c r="AD34" i="26"/>
  <c r="AD160" i="26"/>
  <c r="AD233" i="26"/>
  <c r="AD14" i="26"/>
  <c r="AE34" i="26"/>
  <c r="AD51" i="26"/>
  <c r="AD113" i="26"/>
  <c r="W148" i="26"/>
  <c r="AE218" i="26"/>
  <c r="AE276" i="26"/>
  <c r="W283" i="26"/>
  <c r="AE132" i="26"/>
  <c r="AD148" i="26"/>
  <c r="W198" i="26"/>
  <c r="AE233" i="26"/>
  <c r="W246" i="26"/>
  <c r="AD283" i="26"/>
  <c r="W294" i="26"/>
  <c r="W66" i="26"/>
  <c r="W86" i="26"/>
  <c r="AE113" i="26"/>
  <c r="AE135" i="26"/>
  <c r="AD156" i="26"/>
  <c r="AE160" i="26"/>
  <c r="W190" i="26"/>
  <c r="AD10" i="26"/>
  <c r="AD66" i="26"/>
  <c r="AD86" i="26"/>
  <c r="W93" i="26"/>
  <c r="AD106" i="26"/>
  <c r="W132" i="26"/>
  <c r="AE148" i="26"/>
  <c r="AE156" i="26"/>
  <c r="AD190" i="26"/>
  <c r="AD198" i="26"/>
  <c r="W204" i="26"/>
  <c r="W218" i="26"/>
  <c r="AD246" i="26"/>
  <c r="AE283" i="26"/>
  <c r="AE51" i="26"/>
  <c r="W106" i="26"/>
  <c r="AE10" i="26"/>
  <c r="AD23" i="26"/>
  <c r="AD31" i="26"/>
  <c r="W51" i="26"/>
  <c r="AE66" i="26"/>
  <c r="AE86" i="26"/>
  <c r="AE106" i="26"/>
  <c r="W113" i="26"/>
  <c r="AD132" i="26"/>
  <c r="W160" i="26"/>
  <c r="AE190" i="26"/>
  <c r="AE198" i="26"/>
  <c r="AD204" i="26"/>
  <c r="AD218" i="26"/>
  <c r="W233" i="26"/>
  <c r="AE246" i="26"/>
  <c r="W270" i="26"/>
  <c r="AD276" i="26"/>
  <c r="AE346" i="26"/>
  <c r="AD359" i="26"/>
  <c r="V103" i="26"/>
  <c r="W103" i="26"/>
  <c r="AE58" i="26"/>
  <c r="V130" i="26"/>
  <c r="W130" i="26"/>
  <c r="V196" i="26"/>
  <c r="W196" i="26"/>
  <c r="V228" i="26"/>
  <c r="W228" i="26"/>
  <c r="V99" i="26"/>
  <c r="W99" i="26"/>
  <c r="U388" i="26"/>
  <c r="AE281" i="26"/>
  <c r="V267" i="26"/>
  <c r="W267" i="26"/>
  <c r="V164" i="26"/>
  <c r="W164" i="26"/>
  <c r="AD181" i="26"/>
  <c r="AD284" i="26"/>
  <c r="AE326" i="26"/>
  <c r="AE354" i="26"/>
  <c r="AD356" i="26"/>
  <c r="U363" i="26"/>
  <c r="V63" i="26"/>
  <c r="W63" i="26"/>
  <c r="V224" i="26"/>
  <c r="W224" i="26"/>
  <c r="V146" i="26"/>
  <c r="W146" i="26"/>
  <c r="AD30" i="26"/>
  <c r="AD295" i="26"/>
  <c r="AD327" i="26"/>
  <c r="AE396" i="26"/>
  <c r="AE172" i="26"/>
  <c r="AD247" i="26"/>
  <c r="AE314" i="26"/>
  <c r="AD243" i="26"/>
  <c r="AD293" i="26"/>
  <c r="AE310" i="26"/>
  <c r="AE340" i="26"/>
  <c r="AE217" i="26"/>
  <c r="AD217" i="26"/>
  <c r="V76" i="26"/>
  <c r="W76" i="26"/>
  <c r="AE215" i="26"/>
  <c r="AD215" i="26"/>
  <c r="V177" i="26"/>
  <c r="W177" i="26"/>
  <c r="V242" i="26"/>
  <c r="W242" i="26"/>
  <c r="AE168" i="26"/>
  <c r="AD168" i="26"/>
  <c r="V24" i="26"/>
  <c r="W24" i="26"/>
  <c r="V44" i="26"/>
  <c r="W44" i="26"/>
  <c r="AE219" i="26"/>
  <c r="AD219" i="26"/>
  <c r="V91" i="26"/>
  <c r="W91" i="26"/>
  <c r="AE221" i="26"/>
  <c r="AD221" i="26"/>
  <c r="AE226" i="26"/>
  <c r="AD226" i="26"/>
  <c r="V122" i="26"/>
  <c r="W122" i="26"/>
  <c r="V188" i="26"/>
  <c r="W188" i="26"/>
  <c r="V169" i="26"/>
  <c r="W169" i="26"/>
  <c r="AE225" i="26"/>
  <c r="AD225" i="26"/>
  <c r="AE166" i="26"/>
  <c r="AD166" i="26"/>
  <c r="V15" i="26"/>
  <c r="W15" i="26"/>
  <c r="V139" i="26"/>
  <c r="W139" i="26"/>
  <c r="W26" i="26"/>
  <c r="W36" i="26"/>
  <c r="W38" i="26"/>
  <c r="AD44" i="26"/>
  <c r="AE57" i="26"/>
  <c r="AD62" i="26"/>
  <c r="AD75" i="26"/>
  <c r="AD74" i="26"/>
  <c r="AD76" i="26"/>
  <c r="AD93" i="26"/>
  <c r="W144" i="26"/>
  <c r="AD180" i="26"/>
  <c r="AD186" i="26"/>
  <c r="AE188" i="26"/>
  <c r="AE194" i="26"/>
  <c r="W227" i="26"/>
  <c r="AD237" i="26"/>
  <c r="AE242" i="26"/>
  <c r="AD270" i="26"/>
  <c r="W274" i="26"/>
  <c r="AE279" i="26"/>
  <c r="AD275" i="26"/>
  <c r="AD282" i="26"/>
  <c r="U321" i="26"/>
  <c r="AD338" i="26"/>
  <c r="AD358" i="26"/>
  <c r="U375" i="26"/>
  <c r="AD2" i="26"/>
  <c r="AD26" i="26"/>
  <c r="AE44" i="26"/>
  <c r="AE75" i="26"/>
  <c r="AE76" i="26"/>
  <c r="AE93" i="26"/>
  <c r="AD110" i="26"/>
  <c r="W112" i="26"/>
  <c r="W135" i="26"/>
  <c r="AD144" i="26"/>
  <c r="AD150" i="26"/>
  <c r="AD169" i="26"/>
  <c r="W179" i="26"/>
  <c r="AE182" i="26"/>
  <c r="AE186" i="26"/>
  <c r="W201" i="26"/>
  <c r="AD220" i="26"/>
  <c r="AD227" i="26"/>
  <c r="AE237" i="26"/>
  <c r="W244" i="26"/>
  <c r="AD245" i="26"/>
  <c r="AD249" i="26"/>
  <c r="AE270" i="26"/>
  <c r="AD274" i="26"/>
  <c r="AD280" i="26"/>
  <c r="AE297" i="26"/>
  <c r="AD307" i="26"/>
  <c r="AD316" i="26"/>
  <c r="AD321" i="26"/>
  <c r="U361" i="26"/>
  <c r="AD375" i="26"/>
  <c r="U380" i="26"/>
  <c r="U386" i="26"/>
  <c r="AE2" i="26"/>
  <c r="AD15" i="26"/>
  <c r="AE26" i="26"/>
  <c r="AD25" i="26"/>
  <c r="W47" i="26"/>
  <c r="AE54" i="26"/>
  <c r="AD73" i="26"/>
  <c r="AE110" i="26"/>
  <c r="AD112" i="26"/>
  <c r="AD122" i="26"/>
  <c r="AD135" i="26"/>
  <c r="AE144" i="26"/>
  <c r="AE150" i="26"/>
  <c r="AE169" i="26"/>
  <c r="AD179" i="26"/>
  <c r="W194" i="26"/>
  <c r="AE220" i="26"/>
  <c r="AE227" i="26"/>
  <c r="AD216" i="26"/>
  <c r="AD223" i="26"/>
  <c r="AE274" i="26"/>
  <c r="W279" i="26"/>
  <c r="AD278" i="26"/>
  <c r="W298" i="26"/>
  <c r="AD361" i="26"/>
  <c r="AD386" i="26"/>
  <c r="AD137" i="26"/>
  <c r="AE137" i="26"/>
  <c r="V57" i="26"/>
  <c r="W57" i="26"/>
  <c r="V110" i="26"/>
  <c r="W110" i="26"/>
  <c r="V150" i="26"/>
  <c r="W150" i="26"/>
  <c r="V186" i="26"/>
  <c r="W186" i="26"/>
  <c r="V220" i="26"/>
  <c r="W220" i="26"/>
  <c r="AD9" i="26"/>
  <c r="AE9" i="26"/>
  <c r="V10" i="26"/>
  <c r="W10" i="26"/>
  <c r="V70" i="26"/>
  <c r="W70" i="26"/>
  <c r="V117" i="26"/>
  <c r="W117" i="26"/>
  <c r="V153" i="26"/>
  <c r="W153" i="26"/>
  <c r="V192" i="26"/>
  <c r="W192" i="26"/>
  <c r="V235" i="26"/>
  <c r="W235" i="26"/>
  <c r="AD125" i="26"/>
  <c r="AE125" i="26"/>
  <c r="AD55" i="26"/>
  <c r="AE55" i="26"/>
  <c r="AD277" i="26"/>
  <c r="AE277" i="26"/>
  <c r="AE53" i="26"/>
  <c r="AD53" i="26"/>
  <c r="AD256" i="26"/>
  <c r="AE256" i="26"/>
  <c r="AD320" i="26"/>
  <c r="AE320" i="26"/>
  <c r="V23" i="26"/>
  <c r="W23" i="26"/>
  <c r="V83" i="26"/>
  <c r="W83" i="26"/>
  <c r="V136" i="26"/>
  <c r="W136" i="26"/>
  <c r="V162" i="26"/>
  <c r="W162" i="26"/>
  <c r="V206" i="26"/>
  <c r="W206" i="26"/>
  <c r="V248" i="26"/>
  <c r="W248" i="26"/>
  <c r="AD13" i="26"/>
  <c r="AE13" i="26"/>
  <c r="AE143" i="26"/>
  <c r="AD143" i="26"/>
  <c r="AE155" i="26"/>
  <c r="AD155" i="26"/>
  <c r="V31" i="26"/>
  <c r="W31" i="26"/>
  <c r="V95" i="26"/>
  <c r="W95" i="26"/>
  <c r="V126" i="26"/>
  <c r="W126" i="26"/>
  <c r="V183" i="26"/>
  <c r="W183" i="26"/>
  <c r="V214" i="26"/>
  <c r="W214" i="26"/>
  <c r="V273" i="26"/>
  <c r="W273" i="26"/>
  <c r="AD77" i="26"/>
  <c r="AD158" i="26"/>
  <c r="AD159" i="26"/>
  <c r="AD161" i="26"/>
  <c r="AD163" i="26"/>
  <c r="AD165" i="26"/>
  <c r="AD174" i="26"/>
  <c r="AD260" i="26"/>
  <c r="AD261" i="26"/>
  <c r="AD262" i="26"/>
  <c r="AD387" i="26"/>
  <c r="AE11" i="26"/>
  <c r="AE28" i="26"/>
  <c r="AE33" i="26"/>
  <c r="AE133" i="26"/>
  <c r="AD151" i="26"/>
  <c r="AE254" i="26"/>
  <c r="AD326" i="26"/>
  <c r="AE344" i="26"/>
  <c r="U367" i="26"/>
  <c r="U384" i="26"/>
  <c r="AD395" i="26"/>
  <c r="AD32" i="26"/>
  <c r="AD335" i="26"/>
  <c r="AD348" i="26"/>
  <c r="AD367" i="26"/>
  <c r="AD384" i="26"/>
  <c r="AD410" i="26"/>
  <c r="AD27" i="26"/>
  <c r="AE56" i="26"/>
  <c r="AE127" i="26"/>
  <c r="AD145" i="26"/>
  <c r="AE176" i="26"/>
  <c r="AE288" i="26"/>
  <c r="AE319" i="26"/>
  <c r="AE330" i="26"/>
  <c r="AC397" i="26"/>
  <c r="AE397" i="26" s="1"/>
  <c r="AD69" i="26"/>
  <c r="AE69" i="26"/>
  <c r="AD97" i="26"/>
  <c r="AE97" i="26"/>
  <c r="AD114" i="26"/>
  <c r="AE114" i="26"/>
  <c r="AE149" i="26"/>
  <c r="AD149" i="26"/>
  <c r="AE205" i="26"/>
  <c r="AD205" i="26"/>
  <c r="AD22" i="26"/>
  <c r="AE22" i="26"/>
  <c r="AE100" i="26"/>
  <c r="AD100" i="26"/>
  <c r="AD120" i="26"/>
  <c r="AE120" i="26"/>
  <c r="AE202" i="26"/>
  <c r="AD202" i="26"/>
  <c r="AE21" i="26"/>
  <c r="AD21" i="26"/>
  <c r="AE90" i="26"/>
  <c r="AD90" i="26"/>
  <c r="AE119" i="26"/>
  <c r="AD119" i="26"/>
  <c r="AD131" i="26"/>
  <c r="AE131" i="26"/>
  <c r="AE101" i="26"/>
  <c r="AD101" i="26"/>
  <c r="AE115" i="26"/>
  <c r="AD115" i="26"/>
  <c r="AE94" i="26"/>
  <c r="AD94" i="26"/>
  <c r="AE104" i="26"/>
  <c r="AD104" i="26"/>
  <c r="AD116" i="26"/>
  <c r="AE116" i="26"/>
  <c r="AE121" i="26"/>
  <c r="AD121" i="26"/>
  <c r="AE212" i="26"/>
  <c r="AD212" i="26"/>
  <c r="AE107" i="26"/>
  <c r="AD107" i="26"/>
  <c r="AE71" i="26"/>
  <c r="AD71" i="26"/>
  <c r="AD92" i="26"/>
  <c r="AE92" i="26"/>
  <c r="AE108" i="26"/>
  <c r="AD108" i="26"/>
  <c r="AD20" i="26"/>
  <c r="AE20" i="26"/>
  <c r="AD109" i="26"/>
  <c r="AE109" i="26"/>
  <c r="AE17" i="26"/>
  <c r="AD17" i="26"/>
  <c r="AE68" i="26"/>
  <c r="AD68" i="26"/>
  <c r="AE96" i="26"/>
  <c r="AD96" i="26"/>
  <c r="AD105" i="26"/>
  <c r="AE105" i="26"/>
  <c r="AE111" i="26"/>
  <c r="AD111" i="26"/>
  <c r="AE118" i="26"/>
  <c r="AD118" i="26"/>
  <c r="AE209" i="26"/>
  <c r="AD209" i="26"/>
  <c r="AE193" i="26"/>
  <c r="AD193" i="26"/>
  <c r="AE240" i="26"/>
  <c r="AD240" i="26"/>
  <c r="AE271" i="26"/>
  <c r="AD271" i="26"/>
  <c r="AD350" i="26"/>
  <c r="AE350" i="26"/>
  <c r="AE376" i="26"/>
  <c r="AD376" i="26"/>
  <c r="U285" i="26"/>
  <c r="AE285" i="26"/>
  <c r="AD285" i="26"/>
  <c r="W123" i="26"/>
  <c r="W185" i="26"/>
  <c r="AE200" i="26"/>
  <c r="AD200" i="26"/>
  <c r="AE203" i="26"/>
  <c r="AD203" i="26"/>
  <c r="AE207" i="26"/>
  <c r="AD207" i="26"/>
  <c r="AE211" i="26"/>
  <c r="AD211" i="26"/>
  <c r="AE213" i="26"/>
  <c r="AD213" i="26"/>
  <c r="W263" i="26"/>
  <c r="AE265" i="26"/>
  <c r="AD265" i="26"/>
  <c r="AE272" i="26"/>
  <c r="AD272" i="26"/>
  <c r="AE290" i="26"/>
  <c r="AD290" i="26"/>
  <c r="AE333" i="26"/>
  <c r="AD333" i="26"/>
  <c r="AE189" i="26"/>
  <c r="AD189" i="26"/>
  <c r="AE232" i="26"/>
  <c r="AD232" i="26"/>
  <c r="AE264" i="26"/>
  <c r="AD264" i="26"/>
  <c r="W84" i="26"/>
  <c r="W102" i="26"/>
  <c r="AD29" i="26"/>
  <c r="AD35" i="26"/>
  <c r="AD41" i="26"/>
  <c r="AD42" i="26"/>
  <c r="AD43" i="26"/>
  <c r="AD45" i="26"/>
  <c r="AD46" i="26"/>
  <c r="AD48" i="26"/>
  <c r="AD49" i="26"/>
  <c r="AD59" i="26"/>
  <c r="AD60" i="26"/>
  <c r="AD65" i="26"/>
  <c r="AD67" i="26"/>
  <c r="AD80" i="26"/>
  <c r="AD81" i="26"/>
  <c r="AD82" i="26"/>
  <c r="AD85" i="26"/>
  <c r="AD170" i="26"/>
  <c r="AD178" i="26"/>
  <c r="AD184" i="26"/>
  <c r="AE187" i="26"/>
  <c r="AD187" i="26"/>
  <c r="AE191" i="26"/>
  <c r="AD191" i="26"/>
  <c r="AE195" i="26"/>
  <c r="AD195" i="26"/>
  <c r="AE231" i="26"/>
  <c r="AD231" i="26"/>
  <c r="AE234" i="26"/>
  <c r="AD234" i="26"/>
  <c r="AE238" i="26"/>
  <c r="AD238" i="26"/>
  <c r="AE241" i="26"/>
  <c r="AD241" i="26"/>
  <c r="AE266" i="26"/>
  <c r="AD266" i="26"/>
  <c r="AE341" i="26"/>
  <c r="AE197" i="26"/>
  <c r="AD197" i="26"/>
  <c r="AE236" i="26"/>
  <c r="AD236" i="26"/>
  <c r="AE286" i="26"/>
  <c r="AD286" i="26"/>
  <c r="AE299" i="26"/>
  <c r="AD299" i="26"/>
  <c r="AE311" i="26"/>
  <c r="AD311" i="26"/>
  <c r="AE366" i="26"/>
  <c r="AD366" i="26"/>
  <c r="V199" i="26"/>
  <c r="W199" i="26"/>
  <c r="V222" i="26"/>
  <c r="W222" i="26"/>
  <c r="V250" i="26"/>
  <c r="W250" i="26"/>
  <c r="W14" i="26"/>
  <c r="AE129" i="26"/>
  <c r="AE138" i="26"/>
  <c r="AD147" i="26"/>
  <c r="W167" i="26"/>
  <c r="AE269" i="26"/>
  <c r="AD269" i="26"/>
  <c r="AE291" i="26"/>
  <c r="AD291" i="26"/>
  <c r="AE351" i="26"/>
  <c r="AD351" i="26"/>
  <c r="AD364" i="26"/>
  <c r="AE364" i="26"/>
  <c r="AE369" i="26"/>
  <c r="AD369" i="26"/>
  <c r="AE372" i="26"/>
  <c r="AE379" i="26"/>
  <c r="AD379" i="26"/>
  <c r="AE370" i="26"/>
  <c r="AD370" i="26"/>
  <c r="V2" i="26"/>
  <c r="W2" i="26"/>
  <c r="AE365" i="26"/>
  <c r="AE360" i="26"/>
  <c r="AE362" i="26"/>
  <c r="AE382" i="26"/>
  <c r="AE390" i="26"/>
  <c r="AE381" i="26"/>
  <c r="AD363" i="26"/>
  <c r="U365" i="26"/>
  <c r="AD368" i="26"/>
  <c r="AD378" i="26"/>
  <c r="AD380" i="26"/>
  <c r="U382" i="26"/>
  <c r="AD388" i="26"/>
  <c r="U390" i="26"/>
  <c r="AD383" i="26"/>
  <c r="AD394" i="26"/>
  <c r="AD399" i="26" l="1"/>
  <c r="AE418" i="26"/>
  <c r="W292" i="26"/>
  <c r="AD300" i="26"/>
  <c r="AE300" i="26"/>
  <c r="W371" i="26"/>
  <c r="W276" i="26"/>
  <c r="AE411" i="26"/>
  <c r="AD400" i="26"/>
  <c r="W386" i="26"/>
  <c r="V386" i="26"/>
  <c r="W388" i="26"/>
  <c r="V388" i="26"/>
  <c r="W382" i="26"/>
  <c r="V382" i="26"/>
  <c r="W380" i="26"/>
  <c r="V380" i="26"/>
  <c r="W367" i="26"/>
  <c r="V367" i="26"/>
  <c r="W375" i="26"/>
  <c r="V375" i="26"/>
  <c r="W377" i="26"/>
  <c r="V377" i="26"/>
  <c r="W361" i="26"/>
  <c r="V361" i="26"/>
  <c r="W384" i="26"/>
  <c r="V384" i="26"/>
  <c r="W363" i="26"/>
  <c r="V363" i="26"/>
  <c r="W365" i="26"/>
  <c r="V365" i="26"/>
  <c r="W321" i="26"/>
  <c r="V321" i="26"/>
  <c r="W390" i="26"/>
  <c r="V390" i="26"/>
  <c r="AD397" i="26"/>
  <c r="V285" i="26"/>
  <c r="W28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kafuchs</author>
    <author>Kathrin Fuchs</author>
    <author>tc={916EBFAF-870E-4796-8EBE-C0B6088AB8CB}</author>
    <author>tc={89E98B5A-B022-4CAD-BF4E-CF6B9BE65D0C}</author>
    <author>tc={83D4303A-4AF9-4441-B530-0F952A6988EE}</author>
    <author>Feigenwinter  Iris</author>
    <author>tc={EEBBEFAB-1C8B-4CEC-BA26-589EA939A569}</author>
    <author>tc={4F4AFCF3-1940-499E-9418-61209FA901A9}</author>
    <author>tc={4D46A692-9A8E-478D-A19C-A28020EDC02F}</author>
    <author>tc={F695D22C-942B-4E7E-BDF6-48F67A3ED898}</author>
    <author>tc={7F2E38F9-4CCE-4B7A-8087-C7D8D67BA38A}</author>
    <author>tc={87F55534-5608-41A8-B257-556B5941C689}</author>
    <author>tc={310F2C12-74C5-4E9A-A375-F28A298B9814}</author>
    <author>tc={E6D68A0B-8E53-4CFF-AE75-2C5D7AB7832E}</author>
    <author>tc={08DEEBA3-942D-4339-9850-8A7FD5015583}</author>
    <author>tc={85708D15-653B-451F-A438-9CCF12E888AD}</author>
    <author>tc={E893FC4A-40D6-48B6-BD75-19E690C67022}</author>
    <author>tc={75247B03-15DB-4927-85FB-FE4892F722E9}</author>
    <author>tc={A8EA69F5-9E1D-4CEC-8C59-57AD2984B505}</author>
    <author>tc={0702B0E6-25EB-4D20-9FC2-1B9B0B026DCC}</author>
    <author>tc={8086F09C-83BE-4F83-BA0E-D73E6F65E1B3}</author>
    <author>tc={64068B4A-0361-494D-B372-3EE6B3265831}</author>
    <author>tc={528DC9E4-3599-48CA-8504-BFC4B557B2DE}</author>
    <author>tc={6637C02C-F663-4643-B137-E7225EEDF015}</author>
    <author>tc={FD4C3258-FB14-42DE-AAC4-6CEF7D7C41DC}</author>
    <author>tc={A883F372-B375-4F24-8D9A-D1ADE9A8E5C2}</author>
    <author>tc={C6276C91-354E-4269-830D-04A426CCFC4E}</author>
  </authors>
  <commentList>
    <comment ref="L5" authorId="0" shapeId="0" xr:uid="{00000000-0006-0000-0000-000001000000}">
      <text>
        <r>
          <rPr>
            <b/>
            <sz val="9"/>
            <color indexed="81"/>
            <rFont val="Calibri"/>
            <family val="2"/>
          </rPr>
          <t>kafuchs:</t>
        </r>
        <r>
          <rPr>
            <sz val="9"/>
            <color indexed="81"/>
            <rFont val="Calibri"/>
            <family val="2"/>
          </rPr>
          <t xml:space="preserve">
Expert estimate
</t>
        </r>
      </text>
    </comment>
    <comment ref="H19" authorId="0" shapeId="0" xr:uid="{00000000-0006-0000-0000-000002000000}">
      <text>
        <r>
          <rPr>
            <b/>
            <sz val="9"/>
            <color indexed="81"/>
            <rFont val="Calibri"/>
            <family val="2"/>
          </rPr>
          <t>kafuchs:</t>
        </r>
        <r>
          <rPr>
            <sz val="9"/>
            <color indexed="81"/>
            <rFont val="Calibri"/>
            <family val="2"/>
          </rPr>
          <t xml:space="preserve">
Expert estimate</t>
        </r>
      </text>
    </comment>
    <comment ref="H20" authorId="0" shapeId="0" xr:uid="{00000000-0006-0000-0000-000003000000}">
      <text>
        <r>
          <rPr>
            <b/>
            <sz val="9"/>
            <color indexed="81"/>
            <rFont val="Calibri"/>
            <family val="2"/>
          </rPr>
          <t>kafuchs:</t>
        </r>
        <r>
          <rPr>
            <sz val="9"/>
            <color indexed="81"/>
            <rFont val="Calibri"/>
            <family val="2"/>
          </rPr>
          <t xml:space="preserve">
Expert guess
</t>
        </r>
      </text>
    </comment>
    <comment ref="I20" authorId="0" shapeId="0" xr:uid="{00000000-0006-0000-0000-000004000000}">
      <text>
        <r>
          <rPr>
            <b/>
            <sz val="9"/>
            <color indexed="81"/>
            <rFont val="Calibri"/>
            <family val="2"/>
          </rPr>
          <t>kafuchs:</t>
        </r>
        <r>
          <rPr>
            <sz val="9"/>
            <color indexed="81"/>
            <rFont val="Calibri"/>
            <family val="2"/>
          </rPr>
          <t xml:space="preserve">
Expert guess
</t>
        </r>
      </text>
    </comment>
    <comment ref="L20" authorId="0" shapeId="0" xr:uid="{00000000-0006-0000-0000-000005000000}">
      <text>
        <r>
          <rPr>
            <b/>
            <sz val="9"/>
            <color indexed="81"/>
            <rFont val="Calibri"/>
            <family val="2"/>
          </rPr>
          <t>kafuchs:</t>
        </r>
        <r>
          <rPr>
            <sz val="9"/>
            <color indexed="81"/>
            <rFont val="Calibri"/>
            <family val="2"/>
          </rPr>
          <t xml:space="preserve">
Expert estimate</t>
        </r>
      </text>
    </comment>
    <comment ref="AF20" authorId="0" shapeId="0" xr:uid="{00000000-0006-0000-0000-000006000000}">
      <text>
        <r>
          <rPr>
            <b/>
            <sz val="9"/>
            <color indexed="81"/>
            <rFont val="Calibri"/>
            <family val="2"/>
          </rPr>
          <t>kafuchs:</t>
        </r>
        <r>
          <rPr>
            <sz val="9"/>
            <color indexed="81"/>
            <rFont val="Calibri"/>
            <family val="2"/>
          </rPr>
          <t xml:space="preserve">
Expert estimate</t>
        </r>
      </text>
    </comment>
    <comment ref="I58" authorId="0" shapeId="0" xr:uid="{00000000-0006-0000-0000-000007000000}">
      <text>
        <r>
          <rPr>
            <b/>
            <sz val="9"/>
            <color rgb="FF000000"/>
            <rFont val="Calibri"/>
            <family val="2"/>
          </rPr>
          <t>kafuchs:</t>
        </r>
        <r>
          <rPr>
            <sz val="9"/>
            <color rgb="FF000000"/>
            <rFont val="Calibri"/>
            <family val="2"/>
          </rPr>
          <t xml:space="preserve">
</t>
        </r>
        <r>
          <rPr>
            <sz val="9"/>
            <color rgb="FF000000"/>
            <rFont val="Calibri"/>
            <family val="2"/>
          </rPr>
          <t xml:space="preserve">Expert estimate
</t>
        </r>
      </text>
    </comment>
    <comment ref="AF58" authorId="0" shapeId="0" xr:uid="{00000000-0006-0000-0000-000008000000}">
      <text>
        <r>
          <rPr>
            <b/>
            <sz val="9"/>
            <color indexed="81"/>
            <rFont val="Calibri"/>
            <family val="2"/>
          </rPr>
          <t>kafuchs:</t>
        </r>
        <r>
          <rPr>
            <sz val="9"/>
            <color indexed="81"/>
            <rFont val="Calibri"/>
            <family val="2"/>
          </rPr>
          <t xml:space="preserve">
Expert estimate</t>
        </r>
      </text>
    </comment>
    <comment ref="H62" authorId="0" shapeId="0" xr:uid="{00000000-0006-0000-0000-000009000000}">
      <text>
        <r>
          <rPr>
            <b/>
            <sz val="9"/>
            <color indexed="81"/>
            <rFont val="Calibri"/>
            <family val="2"/>
          </rPr>
          <t>kafuchs:</t>
        </r>
        <r>
          <rPr>
            <sz val="9"/>
            <color indexed="81"/>
            <rFont val="Calibri"/>
            <family val="2"/>
          </rPr>
          <t xml:space="preserve">
Expert estimate
</t>
        </r>
      </text>
    </comment>
    <comment ref="I62" authorId="0" shapeId="0" xr:uid="{00000000-0006-0000-0000-00000A000000}">
      <text>
        <r>
          <rPr>
            <b/>
            <sz val="9"/>
            <color indexed="81"/>
            <rFont val="Calibri"/>
            <family val="2"/>
          </rPr>
          <t>kafuchs:</t>
        </r>
        <r>
          <rPr>
            <sz val="9"/>
            <color indexed="81"/>
            <rFont val="Calibri"/>
            <family val="2"/>
          </rPr>
          <t xml:space="preserve">
Expert estimate
</t>
        </r>
      </text>
    </comment>
    <comment ref="AF62" authorId="0" shapeId="0" xr:uid="{00000000-0006-0000-0000-00000B000000}">
      <text>
        <r>
          <rPr>
            <b/>
            <sz val="9"/>
            <color indexed="81"/>
            <rFont val="Calibri"/>
            <family val="2"/>
          </rPr>
          <t>kafuchs:</t>
        </r>
        <r>
          <rPr>
            <sz val="9"/>
            <color indexed="81"/>
            <rFont val="Calibri"/>
            <family val="2"/>
          </rPr>
          <t xml:space="preserve">
Expert estimate</t>
        </r>
      </text>
    </comment>
    <comment ref="H74" authorId="0" shapeId="0" xr:uid="{00000000-0006-0000-0000-00000C000000}">
      <text>
        <r>
          <rPr>
            <b/>
            <sz val="9"/>
            <color indexed="81"/>
            <rFont val="Calibri"/>
            <family val="2"/>
          </rPr>
          <t>kafuchs:</t>
        </r>
        <r>
          <rPr>
            <sz val="9"/>
            <color indexed="81"/>
            <rFont val="Calibri"/>
            <family val="2"/>
          </rPr>
          <t xml:space="preserve">
Expert estimate
</t>
        </r>
      </text>
    </comment>
    <comment ref="I74" authorId="0" shapeId="0" xr:uid="{00000000-0006-0000-0000-00000D000000}">
      <text>
        <r>
          <rPr>
            <b/>
            <sz val="9"/>
            <color indexed="81"/>
            <rFont val="Calibri"/>
            <family val="2"/>
          </rPr>
          <t>kafuchs:</t>
        </r>
        <r>
          <rPr>
            <sz val="9"/>
            <color indexed="81"/>
            <rFont val="Calibri"/>
            <family val="2"/>
          </rPr>
          <t xml:space="preserve">
Expert estimate
</t>
        </r>
      </text>
    </comment>
    <comment ref="AF74" authorId="0" shapeId="0" xr:uid="{00000000-0006-0000-0000-00000E000000}">
      <text>
        <r>
          <rPr>
            <b/>
            <sz val="9"/>
            <color indexed="81"/>
            <rFont val="Calibri"/>
            <family val="2"/>
          </rPr>
          <t>kafuchs:</t>
        </r>
        <r>
          <rPr>
            <sz val="9"/>
            <color indexed="81"/>
            <rFont val="Calibri"/>
            <family val="2"/>
          </rPr>
          <t xml:space="preserve">
Expert estimate</t>
        </r>
      </text>
    </comment>
    <comment ref="I79" authorId="1" shapeId="0" xr:uid="{00000000-0006-0000-0000-00000F000000}">
      <text>
        <r>
          <rPr>
            <b/>
            <sz val="10"/>
            <color indexed="81"/>
            <rFont val="Calibri"/>
            <family val="2"/>
          </rPr>
          <t>Kathrin Fuchs:</t>
        </r>
        <r>
          <rPr>
            <sz val="10"/>
            <color indexed="81"/>
            <rFont val="Calibri"/>
            <family val="2"/>
          </rPr>
          <t xml:space="preserve">
Expert guess
</t>
        </r>
      </text>
    </comment>
    <comment ref="AF79" authorId="1" shapeId="0" xr:uid="{00000000-0006-0000-0000-000010000000}">
      <text>
        <r>
          <rPr>
            <b/>
            <sz val="10"/>
            <color indexed="81"/>
            <rFont val="Calibri"/>
            <family val="2"/>
          </rPr>
          <t>Kathrin Fuchs:</t>
        </r>
        <r>
          <rPr>
            <sz val="10"/>
            <color indexed="81"/>
            <rFont val="Calibri"/>
            <family val="2"/>
          </rPr>
          <t xml:space="preserve">
Expert guess</t>
        </r>
      </text>
    </comment>
    <comment ref="H85" authorId="0" shapeId="0" xr:uid="{00000000-0006-0000-0000-000011000000}">
      <text>
        <r>
          <rPr>
            <b/>
            <sz val="9"/>
            <color indexed="81"/>
            <rFont val="Calibri"/>
            <family val="2"/>
          </rPr>
          <t>kafuchs:</t>
        </r>
        <r>
          <rPr>
            <sz val="9"/>
            <color indexed="81"/>
            <rFont val="Calibri"/>
            <family val="2"/>
          </rPr>
          <t xml:space="preserve">
Only November known, 15th Nov is estimated
</t>
        </r>
      </text>
    </comment>
    <comment ref="I85" authorId="0" shapeId="0" xr:uid="{00000000-0006-0000-0000-000012000000}">
      <text>
        <r>
          <rPr>
            <b/>
            <sz val="9"/>
            <color indexed="81"/>
            <rFont val="Calibri"/>
            <family val="2"/>
          </rPr>
          <t>kafuchs:</t>
        </r>
        <r>
          <rPr>
            <sz val="9"/>
            <color indexed="81"/>
            <rFont val="Calibri"/>
            <family val="2"/>
          </rPr>
          <t xml:space="preserve">
Only December known, 15th is estimated
</t>
        </r>
      </text>
    </comment>
    <comment ref="L85" authorId="0" shapeId="0" xr:uid="{00000000-0006-0000-0000-000013000000}">
      <text>
        <r>
          <rPr>
            <b/>
            <sz val="9"/>
            <color indexed="81"/>
            <rFont val="Calibri"/>
            <family val="2"/>
          </rPr>
          <t>kafuchs:</t>
        </r>
        <r>
          <rPr>
            <sz val="9"/>
            <color indexed="81"/>
            <rFont val="Calibri"/>
            <family val="2"/>
          </rPr>
          <t xml:space="preserve">
Expert estimate</t>
        </r>
      </text>
    </comment>
    <comment ref="AF85" authorId="0" shapeId="0" xr:uid="{00000000-0006-0000-0000-000014000000}">
      <text>
        <r>
          <rPr>
            <b/>
            <sz val="9"/>
            <color indexed="81"/>
            <rFont val="Calibri"/>
            <family val="2"/>
          </rPr>
          <t>kafuchs:</t>
        </r>
        <r>
          <rPr>
            <sz val="9"/>
            <color indexed="81"/>
            <rFont val="Calibri"/>
            <family val="2"/>
          </rPr>
          <t xml:space="preserve">
Expert estimate</t>
        </r>
      </text>
    </comment>
    <comment ref="H87" authorId="0" shapeId="0" xr:uid="{00000000-0006-0000-0000-000015000000}">
      <text>
        <r>
          <rPr>
            <b/>
            <sz val="9"/>
            <color indexed="81"/>
            <rFont val="Calibri"/>
            <family val="2"/>
          </rPr>
          <t>kafuchs:</t>
        </r>
        <r>
          <rPr>
            <sz val="9"/>
            <color indexed="81"/>
            <rFont val="Calibri"/>
            <family val="2"/>
          </rPr>
          <t xml:space="preserve">
Expert opinion
</t>
        </r>
      </text>
    </comment>
    <comment ref="H88" authorId="0" shapeId="0" xr:uid="{00000000-0006-0000-0000-000016000000}">
      <text>
        <r>
          <rPr>
            <b/>
            <sz val="9"/>
            <color indexed="81"/>
            <rFont val="Calibri"/>
            <family val="2"/>
          </rPr>
          <t>kafuchs:</t>
        </r>
        <r>
          <rPr>
            <sz val="9"/>
            <color indexed="81"/>
            <rFont val="Calibri"/>
            <family val="2"/>
          </rPr>
          <t xml:space="preserve">
Expert opinion</t>
        </r>
      </text>
    </comment>
    <comment ref="H100" authorId="0" shapeId="0" xr:uid="{00000000-0006-0000-0000-000017000000}">
      <text>
        <r>
          <rPr>
            <b/>
            <sz val="9"/>
            <color indexed="81"/>
            <rFont val="Calibri"/>
            <family val="2"/>
          </rPr>
          <t>kafuchs:</t>
        </r>
        <r>
          <rPr>
            <sz val="9"/>
            <color indexed="81"/>
            <rFont val="Calibri"/>
            <family val="2"/>
          </rPr>
          <t xml:space="preserve">
Only November known, 15th  is estimated
</t>
        </r>
      </text>
    </comment>
    <comment ref="I100" authorId="0" shapeId="0" xr:uid="{00000000-0006-0000-0000-000018000000}">
      <text>
        <r>
          <rPr>
            <b/>
            <sz val="9"/>
            <color indexed="81"/>
            <rFont val="Calibri"/>
            <family val="2"/>
          </rPr>
          <t>kafuchs:</t>
        </r>
        <r>
          <rPr>
            <sz val="9"/>
            <color indexed="81"/>
            <rFont val="Calibri"/>
            <family val="2"/>
          </rPr>
          <t xml:space="preserve">
Only December known, 15th is estimated
</t>
        </r>
      </text>
    </comment>
    <comment ref="L100" authorId="0" shapeId="0" xr:uid="{00000000-0006-0000-0000-000019000000}">
      <text>
        <r>
          <rPr>
            <b/>
            <sz val="9"/>
            <color indexed="81"/>
            <rFont val="Calibri"/>
            <family val="2"/>
          </rPr>
          <t>kafuchs:</t>
        </r>
        <r>
          <rPr>
            <sz val="9"/>
            <color indexed="81"/>
            <rFont val="Calibri"/>
            <family val="2"/>
          </rPr>
          <t xml:space="preserve">
Expert estimate</t>
        </r>
      </text>
    </comment>
    <comment ref="AF100" authorId="0" shapeId="0" xr:uid="{00000000-0006-0000-0000-00001A000000}">
      <text>
        <r>
          <rPr>
            <b/>
            <sz val="9"/>
            <color indexed="81"/>
            <rFont val="Calibri"/>
            <family val="2"/>
          </rPr>
          <t>kafuchs:</t>
        </r>
        <r>
          <rPr>
            <sz val="9"/>
            <color indexed="81"/>
            <rFont val="Calibri"/>
            <family val="2"/>
          </rPr>
          <t xml:space="preserve">
Expert estimate</t>
        </r>
      </text>
    </comment>
    <comment ref="I109" authorId="0" shapeId="0" xr:uid="{00000000-0006-0000-0000-00001B000000}">
      <text>
        <r>
          <rPr>
            <b/>
            <sz val="9"/>
            <color indexed="81"/>
            <rFont val="Calibri"/>
            <family val="2"/>
          </rPr>
          <t>kafuchs:</t>
        </r>
        <r>
          <rPr>
            <sz val="9"/>
            <color indexed="81"/>
            <rFont val="Calibri"/>
            <family val="2"/>
          </rPr>
          <t xml:space="preserve">
Expert estimate
</t>
        </r>
      </text>
    </comment>
    <comment ref="L109" authorId="0" shapeId="0" xr:uid="{00000000-0006-0000-0000-00001C000000}">
      <text>
        <r>
          <rPr>
            <b/>
            <sz val="9"/>
            <color indexed="81"/>
            <rFont val="Calibri"/>
            <family val="2"/>
          </rPr>
          <t>kafuchs:</t>
        </r>
        <r>
          <rPr>
            <sz val="9"/>
            <color indexed="81"/>
            <rFont val="Calibri"/>
            <family val="2"/>
          </rPr>
          <t xml:space="preserve">
Expert estimate</t>
        </r>
      </text>
    </comment>
    <comment ref="AF109" authorId="0" shapeId="0" xr:uid="{00000000-0006-0000-0000-00001D000000}">
      <text>
        <r>
          <rPr>
            <b/>
            <sz val="9"/>
            <color indexed="81"/>
            <rFont val="Calibri"/>
            <family val="2"/>
          </rPr>
          <t>kafuchs:</t>
        </r>
        <r>
          <rPr>
            <sz val="9"/>
            <color indexed="81"/>
            <rFont val="Calibri"/>
            <family val="2"/>
          </rPr>
          <t xml:space="preserve">
Expert estimate</t>
        </r>
      </text>
    </comment>
    <comment ref="I121" authorId="0" shapeId="0" xr:uid="{00000000-0006-0000-0000-00001E000000}">
      <text>
        <r>
          <rPr>
            <b/>
            <sz val="9"/>
            <color indexed="81"/>
            <rFont val="Calibri"/>
            <family val="2"/>
          </rPr>
          <t>kafuchs:</t>
        </r>
        <r>
          <rPr>
            <sz val="9"/>
            <color indexed="81"/>
            <rFont val="Calibri"/>
            <family val="2"/>
          </rPr>
          <t xml:space="preserve">
Expert estimate</t>
        </r>
      </text>
    </comment>
    <comment ref="L121" authorId="0" shapeId="0" xr:uid="{00000000-0006-0000-0000-00001F000000}">
      <text>
        <r>
          <rPr>
            <b/>
            <sz val="9"/>
            <color indexed="81"/>
            <rFont val="Calibri"/>
            <family val="2"/>
          </rPr>
          <t>kafuchs:</t>
        </r>
        <r>
          <rPr>
            <sz val="9"/>
            <color indexed="81"/>
            <rFont val="Calibri"/>
            <family val="2"/>
          </rPr>
          <t xml:space="preserve">
Expert estimate</t>
        </r>
      </text>
    </comment>
    <comment ref="AF121" authorId="0" shapeId="0" xr:uid="{00000000-0006-0000-0000-000020000000}">
      <text>
        <r>
          <rPr>
            <b/>
            <sz val="9"/>
            <color indexed="81"/>
            <rFont val="Calibri"/>
            <family val="2"/>
          </rPr>
          <t>kafuchs:</t>
        </r>
        <r>
          <rPr>
            <sz val="9"/>
            <color indexed="81"/>
            <rFont val="Calibri"/>
            <family val="2"/>
          </rPr>
          <t xml:space="preserve">
Expert estimate</t>
        </r>
      </text>
    </comment>
    <comment ref="H137" authorId="2" shapeId="0" xr:uid="{916EBFAF-870E-4796-8EBE-C0B6088AB8CB}">
      <text>
        <t>[Threaded comment]
Your version of Excel allows you to read this threaded comment; however, any edits to it will get removed if the file is opened in a newer version of Excel. Learn more: https://go.microsoft.com/fwlink/?linkid=870924
Comment:
    changed 2007 to 2006 since it was probably a mistake to put 2007 here</t>
      </text>
    </comment>
    <comment ref="L137" authorId="0" shapeId="0" xr:uid="{00000000-0006-0000-0000-000021000000}">
      <text>
        <r>
          <rPr>
            <b/>
            <sz val="9"/>
            <color indexed="81"/>
            <rFont val="Calibri"/>
            <family val="2"/>
          </rPr>
          <t>kafuchs:</t>
        </r>
        <r>
          <rPr>
            <sz val="9"/>
            <color indexed="81"/>
            <rFont val="Calibri"/>
            <family val="2"/>
          </rPr>
          <t xml:space="preserve">
Expert estimate
</t>
        </r>
      </text>
    </comment>
    <comment ref="H138" authorId="3" shapeId="0" xr:uid="{89E98B5A-B022-4CAD-BF4E-CF6B9BE65D0C}">
      <text>
        <t>[Threaded comment]
Your version of Excel allows you to read this threaded comment; however, any edits to it will get removed if the file is opened in a newer version of Excel. Learn more: https://go.microsoft.com/fwlink/?linkid=870924
Comment:
    changed 2007 to 2006 since it was probably a mistake to put 2007 here</t>
      </text>
    </comment>
    <comment ref="H141" authorId="0" shapeId="0" xr:uid="{00000000-0006-0000-0000-000022000000}">
      <text>
        <r>
          <rPr>
            <b/>
            <sz val="9"/>
            <color indexed="81"/>
            <rFont val="Calibri"/>
            <family val="2"/>
          </rPr>
          <t>kafuchs:</t>
        </r>
        <r>
          <rPr>
            <sz val="9"/>
            <color indexed="81"/>
            <rFont val="Calibri"/>
            <family val="2"/>
          </rPr>
          <t xml:space="preserve">
Expert opinion</t>
        </r>
      </text>
    </comment>
    <comment ref="H155" authorId="4" shapeId="0" xr:uid="{83D4303A-4AF9-4441-B530-0F952A6988EE}">
      <text>
        <t>[Threaded comment]
Your version of Excel allows you to read this threaded comment; however, any edits to it will get removed if the file is opened in a newer version of Excel. Learn more: https://go.microsoft.com/fwlink/?linkid=870924
Comment:
    changed 2007 to 2006 since it was probably a mistake to put 2007 here</t>
      </text>
    </comment>
    <comment ref="O266" authorId="5" shapeId="0" xr:uid="{6E0583AA-ED41-450A-9411-3A21D8FB9CBA}">
      <text>
        <r>
          <rPr>
            <b/>
            <sz val="9"/>
            <color indexed="81"/>
            <rFont val="Tahoma"/>
            <family val="2"/>
          </rPr>
          <t>Feigenwinter  Iris:</t>
        </r>
        <r>
          <rPr>
            <sz val="9"/>
            <color indexed="81"/>
            <rFont val="Tahoma"/>
            <family val="2"/>
          </rPr>
          <t xml:space="preserve">
IF changed this to hay bales (was saying "Animals" before), see similar management at A parcel</t>
        </r>
      </text>
    </comment>
    <comment ref="K274" authorId="5" shapeId="0" xr:uid="{75CB58CA-6471-4F99-8E93-0FDA7DCE0538}">
      <text>
        <r>
          <rPr>
            <b/>
            <sz val="9"/>
            <color indexed="81"/>
            <rFont val="Tahoma"/>
            <family val="2"/>
          </rPr>
          <t>Feigenwinter  Iris:</t>
        </r>
        <r>
          <rPr>
            <sz val="9"/>
            <color indexed="81"/>
            <rFont val="Tahoma"/>
            <family val="2"/>
          </rPr>
          <t xml:space="preserve">
This year is special. I think the fertilization was originally referred to both parcels together (4.68) but the yields seem to be reported per parcel (here still 1.5 ha). Also the calculations (which are none for the yield amounts) in column Amount_per_ha_in_original_unit supports that. Thus the A parcel area has not changed this year (still 1.5). I change the area but made sure that the Amount_per_ha_in_original_unit does not get changed (using the reference area 4.68 for fertilization)</t>
        </r>
      </text>
    </comment>
    <comment ref="N280" authorId="5" shapeId="0" xr:uid="{D24FC8EE-759A-46EC-BF95-F7C45D520F48}">
      <text>
        <r>
          <rPr>
            <b/>
            <sz val="9"/>
            <color indexed="81"/>
            <rFont val="Tahoma"/>
            <family val="2"/>
          </rPr>
          <t>Feigenwinter  Iris:</t>
        </r>
        <r>
          <rPr>
            <sz val="9"/>
            <color indexed="81"/>
            <rFont val="Tahoma"/>
            <family val="2"/>
          </rPr>
          <t xml:space="preserve">
This for example is 90/1.5 =60 so the yield was reported per parcel (1.5 ha)</t>
        </r>
      </text>
    </comment>
    <comment ref="L300" authorId="0" shapeId="0" xr:uid="{00000000-0006-0000-0000-000023000000}">
      <text>
        <r>
          <rPr>
            <b/>
            <sz val="9"/>
            <color indexed="81"/>
            <rFont val="Calibri"/>
            <family val="2"/>
          </rPr>
          <t>kafuchs:</t>
        </r>
        <r>
          <rPr>
            <sz val="9"/>
            <color indexed="81"/>
            <rFont val="Calibri"/>
            <family val="2"/>
          </rPr>
          <t xml:space="preserve">
Die 15.3 Schafe kommen dadurch zustande,  50 auf beiden Parzellen waren </t>
        </r>
      </text>
    </comment>
    <comment ref="L320" authorId="0" shapeId="0" xr:uid="{00000000-0006-0000-0000-000024000000}">
      <text>
        <r>
          <rPr>
            <b/>
            <sz val="9"/>
            <color indexed="81"/>
            <rFont val="Calibri"/>
            <family val="2"/>
          </rPr>
          <t>kafuchs:</t>
        </r>
        <r>
          <rPr>
            <sz val="9"/>
            <color indexed="81"/>
            <rFont val="Calibri"/>
            <family val="2"/>
          </rPr>
          <t xml:space="preserve">
Unvollständige Schafe kommen dadurch zustande,  50 auf beiden Parzellen waren</t>
        </r>
      </text>
    </comment>
    <comment ref="AH341" authorId="0" shapeId="0" xr:uid="{00000000-0006-0000-0000-000025000000}">
      <text>
        <r>
          <rPr>
            <b/>
            <sz val="9"/>
            <color indexed="81"/>
            <rFont val="Calibri"/>
            <family val="2"/>
          </rPr>
          <t>kafuchs:</t>
        </r>
        <r>
          <rPr>
            <sz val="9"/>
            <color indexed="81"/>
            <rFont val="Calibri"/>
            <family val="2"/>
          </rPr>
          <t xml:space="preserve">
From Charlotte
Das sind heu und Emd dieser Ernte zusammen, im Feldbuch sind das 2 Zellen </t>
        </r>
      </text>
    </comment>
    <comment ref="AH348" authorId="0" shapeId="0" xr:uid="{00000000-0006-0000-0000-000026000000}">
      <text>
        <r>
          <rPr>
            <b/>
            <sz val="9"/>
            <color indexed="81"/>
            <rFont val="Calibri"/>
            <family val="2"/>
          </rPr>
          <t>kafuchs:</t>
        </r>
        <r>
          <rPr>
            <sz val="9"/>
            <color indexed="81"/>
            <rFont val="Calibri"/>
            <family val="2"/>
          </rPr>
          <t xml:space="preserve">
This is in deed the same amount as just above</t>
        </r>
      </text>
    </comment>
    <comment ref="L351" authorId="0" shapeId="0" xr:uid="{00000000-0006-0000-0000-000027000000}">
      <text>
        <r>
          <rPr>
            <b/>
            <sz val="9"/>
            <color indexed="81"/>
            <rFont val="Calibri"/>
            <family val="2"/>
          </rPr>
          <t>kafuchs:</t>
        </r>
        <r>
          <rPr>
            <sz val="9"/>
            <color indexed="81"/>
            <rFont val="Calibri"/>
            <family val="2"/>
          </rPr>
          <t xml:space="preserve">
Im Feldbuch 2 Einträge für diesen Tag, hier Wagen und Ballen zusammengezählt</t>
        </r>
      </text>
    </comment>
    <comment ref="H364" authorId="0" shapeId="0" xr:uid="{00000000-0006-0000-0000-000028000000}">
      <text>
        <r>
          <rPr>
            <b/>
            <sz val="9"/>
            <color rgb="FF000000"/>
            <rFont val="Calibri"/>
            <family val="2"/>
          </rPr>
          <t>kafuchs: 12.5. - 17.5.  waren auf der Parzelle 17 Tiere, ab 17.5.-3.6., dann nur noch 10 Tiere</t>
        </r>
        <r>
          <rPr>
            <sz val="9"/>
            <color rgb="FF000000"/>
            <rFont val="Calibri"/>
            <family val="2"/>
          </rPr>
          <t xml:space="preserve">
</t>
        </r>
      </text>
    </comment>
    <comment ref="I364" authorId="0" shapeId="0" xr:uid="{00000000-0006-0000-0000-000029000000}">
      <text>
        <r>
          <rPr>
            <b/>
            <sz val="9"/>
            <color rgb="FF000000"/>
            <rFont val="Calibri"/>
            <family val="2"/>
          </rPr>
          <t>kafuchs: 12.5. - 17.5.  waren auf der Parzelle 17 Tiere, ab 17.5.-3.6., dann nur noch 10 Tiere</t>
        </r>
        <r>
          <rPr>
            <sz val="9"/>
            <color rgb="FF000000"/>
            <rFont val="Calibri"/>
            <family val="2"/>
          </rPr>
          <t xml:space="preserve">
</t>
        </r>
      </text>
    </comment>
    <comment ref="L364" authorId="0" shapeId="0" xr:uid="{00000000-0006-0000-0000-00002A000000}">
      <text>
        <r>
          <rPr>
            <b/>
            <sz val="9"/>
            <color indexed="81"/>
            <rFont val="Calibri"/>
            <family val="2"/>
          </rPr>
          <t>kafuchs:</t>
        </r>
        <r>
          <rPr>
            <sz val="9"/>
            <color indexed="81"/>
            <rFont val="Calibri"/>
            <family val="2"/>
          </rPr>
          <t xml:space="preserve">
Duchschittliche Tierzahl pro tag: 12.5. - 17.5.  waren auf der Parzelle 17 Tiere, ab 17.5.-3.6., dann nur noch 10 Tiere
</t>
        </r>
      </text>
    </comment>
    <comment ref="L400" authorId="0" shapeId="0" xr:uid="{00000000-0006-0000-0000-00002B000000}">
      <text>
        <r>
          <rPr>
            <b/>
            <sz val="9"/>
            <color indexed="81"/>
            <rFont val="Calibri"/>
            <family val="2"/>
          </rPr>
          <t>kafuchs:</t>
        </r>
        <r>
          <rPr>
            <sz val="9"/>
            <color indexed="81"/>
            <rFont val="Calibri"/>
            <family val="2"/>
          </rPr>
          <t xml:space="preserve">
on both parcels
</t>
        </r>
      </text>
    </comment>
    <comment ref="L410" authorId="0" shapeId="0" xr:uid="{00000000-0006-0000-0000-00002C000000}">
      <text>
        <r>
          <rPr>
            <b/>
            <sz val="9"/>
            <color rgb="FF000000"/>
            <rFont val="Calibri"/>
            <family val="2"/>
          </rPr>
          <t>kafuchs:</t>
        </r>
        <r>
          <rPr>
            <sz val="9"/>
            <color rgb="FF000000"/>
            <rFont val="Calibri"/>
            <family val="2"/>
          </rPr>
          <t xml:space="preserve">
</t>
        </r>
        <r>
          <rPr>
            <sz val="9"/>
            <color rgb="FF000000"/>
            <rFont val="Calibri"/>
            <family val="2"/>
          </rPr>
          <t>on both parcels</t>
        </r>
      </text>
    </comment>
    <comment ref="L411" authorId="0" shapeId="0" xr:uid="{00000000-0006-0000-0000-00002D000000}">
      <text>
        <r>
          <rPr>
            <b/>
            <sz val="9"/>
            <color rgb="FF000000"/>
            <rFont val="Calibri"/>
            <family val="2"/>
          </rPr>
          <t>kafuchs:</t>
        </r>
        <r>
          <rPr>
            <sz val="9"/>
            <color rgb="FF000000"/>
            <rFont val="Calibri"/>
            <family val="2"/>
          </rPr>
          <t xml:space="preserve">
</t>
        </r>
        <r>
          <rPr>
            <sz val="9"/>
            <color rgb="FF000000"/>
            <rFont val="Calibri"/>
            <family val="2"/>
          </rPr>
          <t xml:space="preserve">on both parcels
</t>
        </r>
      </text>
    </comment>
    <comment ref="L418" authorId="0" shapeId="0" xr:uid="{00000000-0006-0000-0000-00002E000000}">
      <text>
        <r>
          <rPr>
            <b/>
            <sz val="9"/>
            <color indexed="81"/>
            <rFont val="Calibri"/>
            <family val="2"/>
          </rPr>
          <t>kafuchs:</t>
        </r>
        <r>
          <rPr>
            <sz val="9"/>
            <color indexed="81"/>
            <rFont val="Calibri"/>
            <family val="2"/>
          </rPr>
          <t xml:space="preserve">
on both parcels
</t>
        </r>
      </text>
    </comment>
    <comment ref="AI420" authorId="5" shapeId="0" xr:uid="{00000000-0006-0000-0000-00002F000000}">
      <text>
        <r>
          <rPr>
            <b/>
            <sz val="9"/>
            <color indexed="81"/>
            <rFont val="Tahoma"/>
            <family val="2"/>
          </rPr>
          <t>Feigenwinter  Iris:</t>
        </r>
        <r>
          <rPr>
            <sz val="9"/>
            <color indexed="81"/>
            <rFont val="Tahoma"/>
            <family val="2"/>
          </rPr>
          <t xml:space="preserve">
Average from year before. Samples missing
</t>
        </r>
      </text>
    </comment>
    <comment ref="AJ420" authorId="5" shapeId="0" xr:uid="{00000000-0006-0000-0000-000030000000}">
      <text>
        <r>
          <rPr>
            <b/>
            <sz val="9"/>
            <color indexed="81"/>
            <rFont val="Tahoma"/>
            <family val="2"/>
          </rPr>
          <t>Feigenwinter  Iris:</t>
        </r>
        <r>
          <rPr>
            <sz val="9"/>
            <color indexed="81"/>
            <rFont val="Tahoma"/>
            <family val="2"/>
          </rPr>
          <t xml:space="preserve">
Average from year before. Samples missing</t>
        </r>
      </text>
    </comment>
    <comment ref="L426" authorId="6" shapeId="0" xr:uid="{EEBBEFAB-1C8B-4CEC-BA26-589EA939A569}">
      <text>
        <t>[Threaded comment]
Your version of Excel allows you to read this threaded comment; however, any edits to it will get removed if the file is opened in a newer version of Excel. Learn more: https://go.microsoft.com/fwlink/?linkid=870924
Comment:
    Estimated from webcam images, no information from farmer available</t>
      </text>
    </comment>
    <comment ref="AC426" authorId="5" shapeId="0" xr:uid="{4BFFBE58-4604-440D-B7A8-526869C7CBB1}">
      <text>
        <r>
          <rPr>
            <b/>
            <sz val="9"/>
            <color indexed="81"/>
            <rFont val="Tahoma"/>
            <family val="2"/>
          </rPr>
          <t>Feigenwinter  Iris:</t>
        </r>
        <r>
          <rPr>
            <sz val="9"/>
            <color indexed="81"/>
            <rFont val="Tahoma"/>
            <family val="2"/>
          </rPr>
          <t xml:space="preserve">
estimated by number of sheep and intake per day</t>
        </r>
      </text>
    </comment>
    <comment ref="AH426" authorId="5" shapeId="0" xr:uid="{00000000-0006-0000-0000-000032000000}">
      <text>
        <r>
          <rPr>
            <b/>
            <sz val="9"/>
            <color indexed="81"/>
            <rFont val="Tahoma"/>
            <family val="2"/>
          </rPr>
          <t>Feigenwinter  Iris:</t>
        </r>
        <r>
          <rPr>
            <sz val="9"/>
            <color indexed="81"/>
            <rFont val="Tahoma"/>
            <family val="2"/>
          </rPr>
          <t xml:space="preserve">
estimate no BM measurements</t>
        </r>
      </text>
    </comment>
    <comment ref="AI426" authorId="5" shapeId="0" xr:uid="{498A8ACA-FDE2-4EE7-9A3E-95ACB79EE103}">
      <text>
        <r>
          <rPr>
            <b/>
            <sz val="9"/>
            <color indexed="81"/>
            <rFont val="Tahoma"/>
            <family val="2"/>
          </rPr>
          <t>Feigenwinter  Iris:</t>
        </r>
        <r>
          <rPr>
            <sz val="9"/>
            <color indexed="81"/>
            <rFont val="Tahoma"/>
            <family val="2"/>
          </rPr>
          <t xml:space="preserve">
Average of harvests before, samples are missing.</t>
        </r>
      </text>
    </comment>
    <comment ref="AJ427" authorId="5" shapeId="0" xr:uid="{00000000-0006-0000-0000-000034000000}">
      <text>
        <r>
          <rPr>
            <b/>
            <sz val="9"/>
            <color indexed="81"/>
            <rFont val="Tahoma"/>
            <family val="2"/>
          </rPr>
          <t>Feigenwinter  Iris:</t>
        </r>
        <r>
          <rPr>
            <sz val="9"/>
            <color indexed="81"/>
            <rFont val="Tahoma"/>
            <family val="2"/>
          </rPr>
          <t xml:space="preserve">
Average from year before. Samples missing</t>
        </r>
      </text>
    </comment>
    <comment ref="AI430" authorId="5" shapeId="0" xr:uid="{8F4F30D4-8091-4A41-A056-711391784E01}">
      <text>
        <r>
          <rPr>
            <b/>
            <sz val="9"/>
            <color indexed="81"/>
            <rFont val="Tahoma"/>
            <family val="2"/>
          </rPr>
          <t>Feigenwinter  Iris:</t>
        </r>
        <r>
          <rPr>
            <sz val="9"/>
            <color indexed="81"/>
            <rFont val="Tahoma"/>
            <family val="2"/>
          </rPr>
          <t xml:space="preserve">
Average of harvests before, samples are missing.</t>
        </r>
      </text>
    </comment>
    <comment ref="L431" authorId="7" shapeId="0" xr:uid="{4F4AFCF3-1940-499E-9418-61209FA901A9}">
      <text>
        <t>[Threaded comment]
Your version of Excel allows you to read this threaded comment; however, any edits to it will get removed if the file is opened in a newer version of Excel. Learn more: https://go.microsoft.com/fwlink/?linkid=870924
Comment:
    Estimated from webcam images, no information from farmer available</t>
      </text>
    </comment>
    <comment ref="AC431" authorId="5" shapeId="0" xr:uid="{5CAD5612-C82D-4010-86FF-B1FC816D4744}">
      <text>
        <r>
          <rPr>
            <b/>
            <sz val="9"/>
            <color indexed="81"/>
            <rFont val="Tahoma"/>
            <family val="2"/>
          </rPr>
          <t>Feigenwinter  Iris:</t>
        </r>
        <r>
          <rPr>
            <sz val="9"/>
            <color indexed="81"/>
            <rFont val="Tahoma"/>
            <family val="2"/>
          </rPr>
          <t xml:space="preserve">
estimated by number of sheep and intake per day</t>
        </r>
      </text>
    </comment>
    <comment ref="AH431" authorId="5" shapeId="0" xr:uid="{00000000-0006-0000-0000-000036000000}">
      <text>
        <r>
          <rPr>
            <b/>
            <sz val="9"/>
            <color indexed="81"/>
            <rFont val="Tahoma"/>
            <family val="2"/>
          </rPr>
          <t>Feigenwinter  Iris:</t>
        </r>
        <r>
          <rPr>
            <sz val="9"/>
            <color indexed="81"/>
            <rFont val="Tahoma"/>
            <family val="2"/>
          </rPr>
          <t xml:space="preserve">
estimate no BM measurements</t>
        </r>
      </text>
    </comment>
    <comment ref="AI431" authorId="5" shapeId="0" xr:uid="{4EFAA702-3873-42E5-BC27-E24F3A67B4A7}">
      <text>
        <r>
          <rPr>
            <b/>
            <sz val="9"/>
            <color indexed="81"/>
            <rFont val="Tahoma"/>
            <family val="2"/>
          </rPr>
          <t>Feigenwinter  Iris:</t>
        </r>
        <r>
          <rPr>
            <sz val="9"/>
            <color indexed="81"/>
            <rFont val="Tahoma"/>
            <family val="2"/>
          </rPr>
          <t xml:space="preserve">
Average of harvests before, samples are missing.</t>
        </r>
      </text>
    </comment>
    <comment ref="K432" authorId="5" shapeId="0" xr:uid="{00000000-0006-0000-0000-000037000000}">
      <text>
        <r>
          <rPr>
            <b/>
            <sz val="9"/>
            <color indexed="81"/>
            <rFont val="Tahoma"/>
            <family val="2"/>
          </rPr>
          <t>Feigenwinter  Iris:</t>
        </r>
        <r>
          <rPr>
            <sz val="9"/>
            <color indexed="81"/>
            <rFont val="Tahoma"/>
            <family val="2"/>
          </rPr>
          <t xml:space="preserve">
Different areas are reported in the farmers sheet. I do not expect the parcel borders to have changed, so I put 2.2 for all of 2018</t>
        </r>
      </text>
    </comment>
    <comment ref="N432" authorId="5" shapeId="0" xr:uid="{00000000-0006-0000-0000-000038000000}">
      <text>
        <r>
          <rPr>
            <b/>
            <sz val="9"/>
            <color indexed="81"/>
            <rFont val="Tahoma"/>
            <family val="2"/>
          </rPr>
          <t>Feigenwinter  Iris:</t>
        </r>
        <r>
          <rPr>
            <sz val="9"/>
            <color indexed="81"/>
            <rFont val="Tahoma"/>
            <family val="2"/>
          </rPr>
          <t xml:space="preserve">
Estimates by the farmer. Not expected to be very accurate</t>
        </r>
      </text>
    </comment>
    <comment ref="K434" authorId="5" shapeId="0" xr:uid="{B8937D18-CC39-4F29-8FB4-4C740F233D6D}">
      <text>
        <r>
          <rPr>
            <b/>
            <sz val="9"/>
            <color indexed="81"/>
            <rFont val="Tahoma"/>
            <family val="2"/>
          </rPr>
          <t>Feigenwinter  Iris:</t>
        </r>
        <r>
          <rPr>
            <sz val="9"/>
            <color indexed="81"/>
            <rFont val="Tahoma"/>
            <family val="2"/>
          </rPr>
          <t xml:space="preserve">
Different areas in the report. For consistency I put 2.2 here</t>
        </r>
      </text>
    </comment>
    <comment ref="F440" authorId="5" shapeId="0" xr:uid="{00000000-0006-0000-0000-000039000000}">
      <text>
        <r>
          <rPr>
            <b/>
            <sz val="9"/>
            <color indexed="81"/>
            <rFont val="Tahoma"/>
            <family val="2"/>
          </rPr>
          <t>Feigenwinter  Iris:</t>
        </r>
        <r>
          <rPr>
            <sz val="9"/>
            <color indexed="81"/>
            <rFont val="Tahoma"/>
            <family val="2"/>
          </rPr>
          <t xml:space="preserve">
No information from farmer, no chemical analysis of slurry</t>
        </r>
      </text>
    </comment>
    <comment ref="N440" authorId="5" shapeId="0" xr:uid="{93A5543B-D69B-40BA-A4B6-9AA62327E2ED}">
      <text>
        <r>
          <rPr>
            <b/>
            <sz val="9"/>
            <color indexed="81"/>
            <rFont val="Tahoma"/>
            <family val="2"/>
          </rPr>
          <t>Feigenwinter  Iris:</t>
        </r>
        <r>
          <rPr>
            <sz val="9"/>
            <color indexed="81"/>
            <rFont val="Tahoma"/>
            <family val="2"/>
          </rPr>
          <t xml:space="preserve">
This one is from the 2018 Parzellenblatt. There it says 35 m^3/ha but for the date of 07.11.2017, which is obviously a wrong date. 14.11.2018 was taken based on webcam images.</t>
        </r>
      </text>
    </comment>
    <comment ref="K441" authorId="5" shapeId="0" xr:uid="{00000000-0006-0000-0000-00003A000000}">
      <text>
        <r>
          <rPr>
            <b/>
            <sz val="9"/>
            <color indexed="81"/>
            <rFont val="Tahoma"/>
            <family val="2"/>
          </rPr>
          <t>Feigenwinter  Iris:</t>
        </r>
        <r>
          <rPr>
            <sz val="9"/>
            <color indexed="81"/>
            <rFont val="Tahoma"/>
            <family val="2"/>
          </rPr>
          <t xml:space="preserve">
from current Parzellenplan of farmer</t>
        </r>
      </text>
    </comment>
    <comment ref="K444" authorId="5" shapeId="0" xr:uid="{00000000-0006-0000-0000-00003B000000}">
      <text>
        <r>
          <rPr>
            <b/>
            <sz val="9"/>
            <color indexed="81"/>
            <rFont val="Tahoma"/>
            <family val="2"/>
          </rPr>
          <t>Feigenwinter  Iris:</t>
        </r>
        <r>
          <rPr>
            <sz val="9"/>
            <color indexed="81"/>
            <rFont val="Tahoma"/>
            <family val="2"/>
          </rPr>
          <t xml:space="preserve">
A strip of about 12 m from the station was not oversown (by mistake). This was done manually at a later date</t>
        </r>
      </text>
    </comment>
    <comment ref="H447" authorId="5" shapeId="0" xr:uid="{00000000-0006-0000-0000-000040000000}">
      <text>
        <r>
          <rPr>
            <b/>
            <sz val="9"/>
            <color indexed="81"/>
            <rFont val="Tahoma"/>
            <family val="2"/>
          </rPr>
          <t>Feigenwinter  Iris:</t>
        </r>
        <r>
          <rPr>
            <sz val="9"/>
            <color indexed="81"/>
            <rFont val="Tahoma"/>
            <family val="2"/>
          </rPr>
          <t xml:space="preserve">
In the Parzellenblatt this is 19.03. but I refer to the webcam images from 22.03.</t>
        </r>
      </text>
    </comment>
    <comment ref="F448" authorId="5" shapeId="0" xr:uid="{00000000-0006-0000-0000-000041000000}">
      <text>
        <r>
          <rPr>
            <b/>
            <sz val="9"/>
            <color indexed="81"/>
            <rFont val="Tahoma"/>
            <family val="2"/>
          </rPr>
          <t>Feigenwinter  Iris:</t>
        </r>
        <r>
          <rPr>
            <sz val="9"/>
            <color indexed="81"/>
            <rFont val="Tahoma"/>
            <family val="2"/>
          </rPr>
          <t xml:space="preserve">
Not whole P4 was mowed, a part in the south was left for hay production which was mowed at a later date.</t>
        </r>
      </text>
    </comment>
    <comment ref="K448" authorId="5" shapeId="0" xr:uid="{00000000-0006-0000-0000-000042000000}">
      <text>
        <r>
          <rPr>
            <b/>
            <sz val="9"/>
            <color indexed="81"/>
            <rFont val="Tahoma"/>
            <family val="2"/>
          </rPr>
          <t>Feigenwinter  Iris:</t>
        </r>
        <r>
          <rPr>
            <sz val="9"/>
            <color indexed="81"/>
            <rFont val="Tahoma"/>
            <family val="2"/>
          </rPr>
          <t xml:space="preserve">
Not whole P4 was mowed, some was mowed later. Part of the harvest was used as grass silage, part of it as hay. For simplification  reasons I still write the whole parcel area here</t>
        </r>
      </text>
    </comment>
    <comment ref="N448" authorId="5" shapeId="0" xr:uid="{20D839F6-15CD-4110-8AA0-8BFB1283BE3A}">
      <text>
        <r>
          <rPr>
            <b/>
            <sz val="9"/>
            <color indexed="81"/>
            <rFont val="Tahoma"/>
            <family val="2"/>
          </rPr>
          <t>Feigenwinter  Iris:
In Agrotech sheet it says 1322 but I think the comma was missing by mistake</t>
        </r>
      </text>
    </comment>
    <comment ref="K449" authorId="5" shapeId="0" xr:uid="{00000000-0006-0000-0000-000045000000}">
      <text>
        <r>
          <rPr>
            <b/>
            <sz val="9"/>
            <color indexed="81"/>
            <rFont val="Tahoma"/>
            <family val="2"/>
          </rPr>
          <t>Feigenwinter  Iris:</t>
        </r>
        <r>
          <rPr>
            <sz val="9"/>
            <color indexed="81"/>
            <rFont val="Tahoma"/>
            <family val="2"/>
          </rPr>
          <t xml:space="preserve">
Actually less because area close to the station was not fertilized</t>
        </r>
      </text>
    </comment>
    <comment ref="AC455" authorId="5" shapeId="0" xr:uid="{F614462B-DDE7-4C53-A9B7-6ACD73012C21}">
      <text>
        <r>
          <rPr>
            <b/>
            <sz val="9"/>
            <color indexed="81"/>
            <rFont val="Tahoma"/>
            <family val="2"/>
          </rPr>
          <t>Feigenwinter  Iris:</t>
        </r>
        <r>
          <rPr>
            <sz val="9"/>
            <color indexed="81"/>
            <rFont val="Tahoma"/>
            <family val="2"/>
          </rPr>
          <t xml:space="preserve">
estimated by number of sheep and intake per day</t>
        </r>
      </text>
    </comment>
    <comment ref="H456" authorId="5" shapeId="0" xr:uid="{00000000-0006-0000-0000-000047000000}">
      <text>
        <r>
          <rPr>
            <b/>
            <sz val="9"/>
            <color indexed="81"/>
            <rFont val="Tahoma"/>
            <family val="2"/>
          </rPr>
          <t>Feigenwinter  Iris:</t>
        </r>
        <r>
          <rPr>
            <sz val="9"/>
            <color indexed="81"/>
            <rFont val="Tahoma"/>
            <family val="2"/>
          </rPr>
          <t xml:space="preserve">
In the Parzellenblatt this is 19.03. but I refer to the webcam images from 22.03.</t>
        </r>
      </text>
    </comment>
    <comment ref="AC462" authorId="5" shapeId="0" xr:uid="{A07EEF98-A10F-4CA2-952C-47526BC11C8B}">
      <text>
        <r>
          <rPr>
            <b/>
            <sz val="9"/>
            <color indexed="81"/>
            <rFont val="Tahoma"/>
            <family val="2"/>
          </rPr>
          <t>Feigenwinter  Iris:</t>
        </r>
        <r>
          <rPr>
            <sz val="9"/>
            <color indexed="81"/>
            <rFont val="Tahoma"/>
            <family val="2"/>
          </rPr>
          <t xml:space="preserve">
estimated by number of sheep and intake per day</t>
        </r>
      </text>
    </comment>
    <comment ref="N467" authorId="8" shapeId="0" xr:uid="{4D46A692-9A8E-478D-A19C-A28020EDC02F}">
      <text>
        <t>[Threaded comment]
Your version of Excel allows you to read this threaded comment; however, any edits to it will get removed if the file is opened in a newer version of Excel. Learn more: https://go.microsoft.com/fwlink/?linkid=870924
Comment:
    From agrotech sheet</t>
      </text>
    </comment>
    <comment ref="N469" authorId="9" shapeId="0" xr:uid="{F695D22C-942B-4E7E-BDF6-48F67A3ED898}">
      <text>
        <t>[Threaded comment]
Your version of Excel allows you to read this threaded comment; however, any edits to it will get removed if the file is opened in a newer version of Excel. Learn more: https://go.microsoft.com/fwlink/?linkid=870924
Comment:
    From agrotech sheet</t>
      </text>
    </comment>
    <comment ref="N471" authorId="10" shapeId="0" xr:uid="{7F2E38F9-4CCE-4B7A-8087-C7D8D67BA38A}">
      <text>
        <t>[Threaded comment]
Your version of Excel allows you to read this threaded comment; however, any edits to it will get removed if the file is opened in a newer version of Excel. Learn more: https://go.microsoft.com/fwlink/?linkid=870924
Comment:
    From agrotech sheet</t>
      </text>
    </comment>
    <comment ref="AC473" authorId="5" shapeId="0" xr:uid="{E73DCA7C-E271-43D9-B3E7-94E20FB512E9}">
      <text>
        <r>
          <rPr>
            <b/>
            <sz val="9"/>
            <color indexed="81"/>
            <rFont val="Tahoma"/>
            <family val="2"/>
          </rPr>
          <t>Feigenwinter  Iris:</t>
        </r>
        <r>
          <rPr>
            <sz val="9"/>
            <color indexed="81"/>
            <rFont val="Tahoma"/>
            <family val="2"/>
          </rPr>
          <t xml:space="preserve">
estimated by number of sheep and intake per day</t>
        </r>
      </text>
    </comment>
    <comment ref="N476" authorId="11" shapeId="0" xr:uid="{87F55534-5608-41A8-B257-556B5941C689}">
      <text>
        <t>[Threaded comment]
Your version of Excel allows you to read this threaded comment; however, any edits to it will get removed if the file is opened in a newer version of Excel. Learn more: https://go.microsoft.com/fwlink/?linkid=870924
Comment:
    From agrotech sheet</t>
      </text>
    </comment>
    <comment ref="N477" authorId="12" shapeId="0" xr:uid="{310F2C12-74C5-4E9A-A375-F28A298B9814}">
      <text>
        <t>[Threaded comment]
Your version of Excel allows you to read this threaded comment; however, any edits to it will get removed if the file is opened in a newer version of Excel. Learn more: https://go.microsoft.com/fwlink/?linkid=870924
Comment:
    From agrotech sheet</t>
      </text>
    </comment>
    <comment ref="N478" authorId="13" shapeId="0" xr:uid="{E6D68A0B-8E53-4CFF-AE75-2C5D7AB7832E}">
      <text>
        <t>[Threaded comment]
Your version of Excel allows you to read this threaded comment; however, any edits to it will get removed if the file is opened in a newer version of Excel. Learn more: https://go.microsoft.com/fwlink/?linkid=870924
Comment:
    From agrotech sheet</t>
      </text>
    </comment>
    <comment ref="AC480" authorId="5" shapeId="0" xr:uid="{D502C9B6-3D07-4644-BC09-8FF5F08EAF6E}">
      <text>
        <r>
          <rPr>
            <b/>
            <sz val="9"/>
            <color indexed="81"/>
            <rFont val="Tahoma"/>
            <family val="2"/>
          </rPr>
          <t>Feigenwinter  Iris:</t>
        </r>
        <r>
          <rPr>
            <sz val="9"/>
            <color indexed="81"/>
            <rFont val="Tahoma"/>
            <family val="2"/>
          </rPr>
          <t xml:space="preserve">
estimated by number of sheep and intake per day</t>
        </r>
      </text>
    </comment>
    <comment ref="N481" authorId="14" shapeId="0" xr:uid="{08DEEBA3-942D-4339-9850-8A7FD5015583}">
      <text>
        <t>[Threaded comment]
Your version of Excel allows you to read this threaded comment; however, any edits to it will get removed if the file is opened in a newer version of Excel. Learn more: https://go.microsoft.com/fwlink/?linkid=870924
Comment:
    Apprentice was driving too slowly so too much slurry. Farmer said on average 50m3/ha for both parcels but ch4 got more than ch5 so we agreed on these numbers</t>
      </text>
    </comment>
    <comment ref="H487" authorId="5" shapeId="0" xr:uid="{B738494D-321F-43B2-B8DA-EBAC0B755BAD}">
      <text>
        <r>
          <rPr>
            <b/>
            <sz val="9"/>
            <color indexed="81"/>
            <rFont val="Tahoma"/>
            <family val="2"/>
          </rPr>
          <t>Feigenwinter  Iris:</t>
        </r>
        <r>
          <rPr>
            <sz val="9"/>
            <color indexed="81"/>
            <rFont val="Tahoma"/>
            <family val="2"/>
          </rPr>
          <t xml:space="preserve">
Based on webcam images</t>
        </r>
      </text>
    </comment>
    <comment ref="F490" authorId="15" shapeId="0" xr:uid="{85708D15-653B-451F-A438-9CCF12E888AD}">
      <text>
        <t>[Threaded comment]
Your version of Excel allows you to read this threaded comment; however, any edits to it will get removed if the file is opened in a newer version of Excel. Learn more: https://go.microsoft.com/fwlink/?linkid=870924
Comment:
    They left out a strip in the south of the station in the ditch because it was too wet to be driven onto</t>
      </text>
    </comment>
    <comment ref="F491" authorId="16" shapeId="0" xr:uid="{E893FC4A-40D6-48B6-BD75-19E690C67022}">
      <text>
        <t>[Threaded comment]
Your version of Excel allows you to read this threaded comment; however, any edits to it will get removed if the file is opened in a newer version of Excel. Learn more: https://go.microsoft.com/fwlink/?linkid=870924
Comment:
    Leftover strip on A got resown</t>
      </text>
    </comment>
    <comment ref="G494" authorId="17" shapeId="0" xr:uid="{75247B03-15DB-4927-85FB-FE4892F722E9}">
      <text>
        <t>[Threaded comment]
Your version of Excel allows you to read this threaded comment; however, any edits to it will get removed if the file is opened in a newer version of Excel. Learn more: https://go.microsoft.com/fwlink/?linkid=870924
Comment:
    First time parcel B was fertilized since 2015!</t>
      </text>
    </comment>
    <comment ref="N494" authorId="18" shapeId="0" xr:uid="{A8EA69F5-9E1D-4CEC-8C59-57AD2984B505}">
      <text>
        <t>[Threaded comment]
Your version of Excel allows you to read this threaded comment; however, any edits to it will get removed if the file is opened in a newer version of Excel. Learn more: https://go.microsoft.com/fwlink/?linkid=870924
Comment:
    Apprentice was driving too slowly so too much slurry. Farmer said on average 50m3/ha for both parcels but ch4 got more than ch5 so we agreed on these numbers</t>
      </text>
    </comment>
    <comment ref="H500" authorId="5" shapeId="0" xr:uid="{471DF1E4-9166-423F-BBAD-13476822F265}">
      <text>
        <r>
          <rPr>
            <b/>
            <sz val="9"/>
            <color indexed="81"/>
            <rFont val="Tahoma"/>
            <family val="2"/>
          </rPr>
          <t>Feigenwinter  Iris:</t>
        </r>
        <r>
          <rPr>
            <sz val="9"/>
            <color indexed="81"/>
            <rFont val="Tahoma"/>
            <family val="2"/>
          </rPr>
          <t xml:space="preserve">
Based on webcam images</t>
        </r>
      </text>
    </comment>
    <comment ref="G509" authorId="19" shapeId="0" xr:uid="{0702B0E6-25EB-4D20-9FC2-1B9B0B026DCC}">
      <text>
        <t>[Threaded comment]
Your version of Excel allows you to read this threaded comment; however, any edits to it will get removed if the file is opened in a newer version of Excel. Learn more: https://go.microsoft.com/fwlink/?linkid=870924
Comment:
    No biomass samples</t>
      </text>
    </comment>
    <comment ref="I513" authorId="20" shapeId="0" xr:uid="{8086F09C-83BE-4F83-BA0E-D73E6F65E1B3}">
      <text>
        <t>[Threaded comment]
Your version of Excel allows you to read this threaded comment; however, any edits to it will get removed if the file is opened in a newer version of Excel. Learn more: https://go.microsoft.com/fwlink/?linkid=870924
Comment:
    An ellipse was left around the station for biomass sampling. That area was mowed on 2022-08-11, but farmer only took away the grass until 2022-08-16.</t>
      </text>
    </comment>
    <comment ref="I514" authorId="21" shapeId="0" xr:uid="{64068B4A-0361-494D-B372-3EE6B3265831}">
      <text>
        <t>[Threaded comment]
Your version of Excel allows you to read this threaded comment; however, any edits to it will get removed if the file is opened in a newer version of Excel. Learn more: https://go.microsoft.com/fwlink/?linkid=870924
Comment:
    On both days</t>
      </text>
    </comment>
    <comment ref="I516" authorId="22" shapeId="0" xr:uid="{528DC9E4-3599-48CA-8504-BFC4B557B2DE}">
      <text>
        <t>[Threaded comment]
Your version of Excel allows you to read this threaded comment; however, any edits to it will get removed if the file is opened in a newer version of Excel. Learn more: https://go.microsoft.com/fwlink/?linkid=870924
Comment:
    Farmer told us the fertilization was from Wednesday (2022-10-05) to Friday (2022-10-07)</t>
      </text>
    </comment>
    <comment ref="G521" authorId="23" shapeId="0" xr:uid="{6637C02C-F663-4643-B137-E7225EEDF015}">
      <text>
        <t>[Threaded comment]
Your version of Excel allows you to read this threaded comment; however, any edits to it will get removed if the file is opened in a newer version of Excel. Learn more: https://go.microsoft.com/fwlink/?linkid=870924
Comment:
    No biomass samples</t>
      </text>
    </comment>
    <comment ref="I525" authorId="24" shapeId="0" xr:uid="{FD4C3258-FB14-42DE-AAC4-6CEF7D7C41DC}">
      <text>
        <t>[Threaded comment]
Your version of Excel allows you to read this threaded comment; however, any edits to it will get removed if the file is opened in a newer version of Excel. Learn more: https://go.microsoft.com/fwlink/?linkid=870924
Comment:
    An ellipse was left around the station for biomass sampling. That area was mowed on 2022-08-11, but farmer only took away the grass until 2022-08-16.</t>
      </text>
    </comment>
    <comment ref="I526" authorId="25" shapeId="0" xr:uid="{A883F372-B375-4F24-8D9A-D1ADE9A8E5C2}">
      <text>
        <t>[Threaded comment]
Your version of Excel allows you to read this threaded comment; however, any edits to it will get removed if the file is opened in a newer version of Excel. Learn more: https://go.microsoft.com/fwlink/?linkid=870924
Comment:
    On both days</t>
      </text>
    </comment>
    <comment ref="I528" authorId="26" shapeId="0" xr:uid="{C6276C91-354E-4269-830D-04A426CCFC4E}">
      <text>
        <t>[Threaded comment]
Your version of Excel allows you to read this threaded comment; however, any edits to it will get removed if the file is opened in a newer version of Excel. Learn more: https://go.microsoft.com/fwlink/?linkid=870924
Comment:
    Farmer told us the fertilization was from Wednesday (2022-10-05) to Friday (2022-10-07)</t>
      </text>
    </comment>
  </commentList>
</comments>
</file>

<file path=xl/sharedStrings.xml><?xml version="1.0" encoding="utf-8"?>
<sst xmlns="http://schemas.openxmlformats.org/spreadsheetml/2006/main" count="3589" uniqueCount="202">
  <si>
    <t>Mg</t>
  </si>
  <si>
    <t>NA</t>
  </si>
  <si>
    <t>t</t>
  </si>
  <si>
    <t>kg</t>
  </si>
  <si>
    <t>ha</t>
  </si>
  <si>
    <t>m3</t>
  </si>
  <si>
    <t>l</t>
  </si>
  <si>
    <t>tb</t>
  </si>
  <si>
    <t>ID</t>
  </si>
  <si>
    <t>C (kg/ha)_Fieldbook</t>
  </si>
  <si>
    <t>N (kg/ha)_Fieldbook</t>
  </si>
  <si>
    <t>Year</t>
  </si>
  <si>
    <t>Parcel</t>
  </si>
  <si>
    <t>Start</t>
  </si>
  <si>
    <t>End</t>
  </si>
  <si>
    <t>Fertilization</t>
  </si>
  <si>
    <t>Unit</t>
  </si>
  <si>
    <t>Duration (d)</t>
  </si>
  <si>
    <t>Yield (kg DM/ha)_Fieldbook</t>
  </si>
  <si>
    <t>Calcium ammonium nitrate</t>
  </si>
  <si>
    <t>Management_Category</t>
  </si>
  <si>
    <t>Sowing</t>
  </si>
  <si>
    <t>Soil cultivation</t>
  </si>
  <si>
    <t>Use</t>
  </si>
  <si>
    <t>Plant protection and growth maintenance</t>
  </si>
  <si>
    <t>Growth cycle</t>
  </si>
  <si>
    <t>Crop_type</t>
  </si>
  <si>
    <t>Grazing</t>
  </si>
  <si>
    <t>Harrowing</t>
  </si>
  <si>
    <t>Herbe removal</t>
  </si>
  <si>
    <t>Rumex removal</t>
  </si>
  <si>
    <t>Herbicide</t>
  </si>
  <si>
    <t>Mineral fertilizer</t>
  </si>
  <si>
    <t>Mowing</t>
  </si>
  <si>
    <t>Grass silage</t>
  </si>
  <si>
    <t>Organic fertilizer</t>
  </si>
  <si>
    <t>Oversowing</t>
  </si>
  <si>
    <t>Pesticide</t>
  </si>
  <si>
    <t>Ploughing</t>
  </si>
  <si>
    <t>Resowing</t>
  </si>
  <si>
    <t>Rolling</t>
  </si>
  <si>
    <t>Aftergrass</t>
  </si>
  <si>
    <t>Cattle</t>
  </si>
  <si>
    <t>Hay</t>
  </si>
  <si>
    <t>Manure</t>
  </si>
  <si>
    <t>Sheep</t>
  </si>
  <si>
    <t>Slurry</t>
  </si>
  <si>
    <t>Type OH 440 Extra</t>
  </si>
  <si>
    <t>Type OH 440 Reno</t>
  </si>
  <si>
    <t>Type OH 440 RenoTurbo</t>
  </si>
  <si>
    <t>Type OH 240 Reno</t>
  </si>
  <si>
    <t>C (kg/ha)_Measurement</t>
  </si>
  <si>
    <t>N (kg/ha)_Measurement</t>
  </si>
  <si>
    <t>C (kg/ha)_Measurement_sd</t>
  </si>
  <si>
    <t>N (kg/ha)_Measurement_sd</t>
  </si>
  <si>
    <t>Yield (kg DM/ha)_Measurement</t>
  </si>
  <si>
    <t>Yield (kg DM/ha)_Measurement_sd</t>
  </si>
  <si>
    <t>Corg Fertilizer (g/kg DM)</t>
  </si>
  <si>
    <t>Management_Subcategory</t>
  </si>
  <si>
    <t>N_NH4 Fertilizer (g/kg DM)</t>
  </si>
  <si>
    <t>&lt;0.001</t>
  </si>
  <si>
    <t>Yield (kg DM/ha)_Measurement_sem</t>
  </si>
  <si>
    <t>C (kg/ha)_Measurement_sem</t>
  </si>
  <si>
    <t>N (kg/ha)_Measurement_sem</t>
  </si>
  <si>
    <t>Animals</t>
  </si>
  <si>
    <t>Wagon</t>
  </si>
  <si>
    <t xml:space="preserve">Amount_per_parcel </t>
  </si>
  <si>
    <t xml:space="preserve">Weight per harvest unit or estimated intake per animal per day (kg) </t>
  </si>
  <si>
    <t>Silage bales</t>
  </si>
  <si>
    <t>Hay bales</t>
  </si>
  <si>
    <t>dt DM</t>
  </si>
  <si>
    <t>Residuals on the field after cutting:</t>
  </si>
  <si>
    <t>Area (ha)</t>
  </si>
  <si>
    <t>Total Fertilizer DM (kg/ha)</t>
  </si>
  <si>
    <t>Total Fertilizer N (kg/ha)</t>
  </si>
  <si>
    <t>Fertilizer DM (%)</t>
  </si>
  <si>
    <t>N_tot Fertilizer (g/kg DM) (Nmin+Norg)</t>
  </si>
  <si>
    <t>N_NO3 Fertilizer (g/kg DM)</t>
  </si>
  <si>
    <t>Total Fertilizer Corg (kg/ha)</t>
  </si>
  <si>
    <t>Fertilizer C/N</t>
  </si>
  <si>
    <t>dt FM</t>
  </si>
  <si>
    <t>Amount_per_ha_in_original_unit</t>
  </si>
  <si>
    <t>White clover big leave (FIONA, BOMBUS)</t>
  </si>
  <si>
    <t>White clover small leave (PEPSI, HEBE)</t>
  </si>
  <si>
    <r>
      <t>English ryegrass (</t>
    </r>
    <r>
      <rPr>
        <i/>
        <sz val="12"/>
        <color theme="1"/>
        <rFont val="Calibri"/>
        <family val="2"/>
        <scheme val="minor"/>
      </rPr>
      <t>Lolium perenne</t>
    </r>
    <r>
      <rPr>
        <sz val="12"/>
        <color theme="1"/>
        <rFont val="Calibri"/>
        <family val="2"/>
        <scheme val="minor"/>
      </rPr>
      <t>) early sort</t>
    </r>
  </si>
  <si>
    <r>
      <t>English ryegrass (</t>
    </r>
    <r>
      <rPr>
        <i/>
        <sz val="12"/>
        <color theme="1"/>
        <rFont val="Calibri"/>
        <family val="2"/>
        <scheme val="minor"/>
      </rPr>
      <t>Lolium perenne</t>
    </r>
    <r>
      <rPr>
        <sz val="12"/>
        <color theme="1"/>
        <rFont val="Calibri"/>
        <family val="2"/>
        <scheme val="minor"/>
      </rPr>
      <t>) later sort</t>
    </r>
  </si>
  <si>
    <r>
      <rPr>
        <sz val="12"/>
        <color theme="1"/>
        <rFont val="Calibri"/>
        <family val="2"/>
        <scheme val="minor"/>
      </rPr>
      <t>Common meadow-grass</t>
    </r>
    <r>
      <rPr>
        <i/>
        <sz val="12"/>
        <color theme="1"/>
        <rFont val="Calibri"/>
        <family val="2"/>
        <scheme val="minor"/>
      </rPr>
      <t xml:space="preserve"> (Poa pratensis)</t>
    </r>
  </si>
  <si>
    <t>Weight g/a</t>
  </si>
  <si>
    <t>OH-440 Reno</t>
  </si>
  <si>
    <t>Total</t>
  </si>
  <si>
    <t>Weight kg/ha</t>
  </si>
  <si>
    <t>Red clover 2n BONUS</t>
  </si>
  <si>
    <t xml:space="preserve">and OH-440 RenoTurbo </t>
  </si>
  <si>
    <r>
      <t>Timothy-grass (</t>
    </r>
    <r>
      <rPr>
        <i/>
        <sz val="12"/>
        <color theme="1"/>
        <rFont val="Calibri"/>
        <family val="2"/>
        <scheme val="minor"/>
      </rPr>
      <t>Phleum pratense</t>
    </r>
    <r>
      <rPr>
        <sz val="12"/>
        <color theme="1"/>
        <rFont val="Calibri"/>
        <family val="2"/>
        <scheme val="minor"/>
      </rPr>
      <t>)</t>
    </r>
  </si>
  <si>
    <r>
      <t>Festuca (</t>
    </r>
    <r>
      <rPr>
        <i/>
        <sz val="12"/>
        <color theme="1"/>
        <rFont val="Calibri"/>
        <family val="2"/>
        <scheme val="minor"/>
      </rPr>
      <t>Festuca rubra</t>
    </r>
    <r>
      <rPr>
        <sz val="12"/>
        <color theme="1"/>
        <rFont val="Calibri"/>
        <family val="2"/>
        <scheme val="minor"/>
      </rPr>
      <t>)</t>
    </r>
  </si>
  <si>
    <t>OH-440 Extra</t>
  </si>
  <si>
    <t>Seed mixture:</t>
  </si>
  <si>
    <t>White clover big leave FIONA</t>
  </si>
  <si>
    <t>White clover small leave HEBE</t>
  </si>
  <si>
    <t>Red clover TEDI</t>
  </si>
  <si>
    <t>OH-Clover mixture for oversowing</t>
  </si>
  <si>
    <t>* OH - Rotklee 4n, Sorte TEDI, Weissklee kleinblättrig</t>
  </si>
  <si>
    <t xml:space="preserve">Sorte HEBE,  Weissklee grossblättrig, Sorte FIONA, </t>
  </si>
  <si>
    <t>insgesamt 200 g/a, je 1/3 der oben genannten Sorte</t>
  </si>
  <si>
    <t>Seed mixes</t>
  </si>
  <si>
    <t>Intensive grassland</t>
  </si>
  <si>
    <t>Seeding</t>
  </si>
  <si>
    <t>See seed mixtures in the next sheet.</t>
  </si>
  <si>
    <t>Assumption</t>
  </si>
  <si>
    <t xml:space="preserve">m3 </t>
  </si>
  <si>
    <t>Parcel 4 is the farmers name for Parcel A, Parcel 5 is the farmers name for Parcel B</t>
  </si>
  <si>
    <t>General Information</t>
  </si>
  <si>
    <t>The ID is given after sorting year, parcel and date of the event ID 1 for the first event in 2001</t>
  </si>
  <si>
    <t>dt DM is deci-tonnes per dry matter (corresponding to 0.1 t DM)</t>
  </si>
  <si>
    <t>Original_unit refers to the units as they show up in the fieldbook entries of the farm.</t>
  </si>
  <si>
    <t>Ploughing depth: 23 cm</t>
  </si>
  <si>
    <t xml:space="preserve">The harrow was applied before resowing events, where </t>
  </si>
  <si>
    <t>Asulox (applied on the whole field against Rumex obtusifolius)</t>
  </si>
  <si>
    <t>Asulam (applied on the whole field against Rumex obtusifolius)</t>
  </si>
  <si>
    <t>Harmony tabs (applied on single plants against Rumex obtusifolius)</t>
  </si>
  <si>
    <t>Molluscicide (applied on the whole field)</t>
  </si>
  <si>
    <t>Asulox and Asulox are applied on the whole field against Rumex obtusifolius.</t>
  </si>
  <si>
    <t>Molluscicide was applied on the whole field</t>
  </si>
  <si>
    <t>Ally Tabs and Harmony tabs are sdissolved in water and applied on individual plants</t>
  </si>
  <si>
    <t>Harrowing (1 cm)</t>
  </si>
  <si>
    <t>Harrowing (7 cm)</t>
  </si>
  <si>
    <t>Resowing: Ploughing the whole field and sowing a new seed mix</t>
  </si>
  <si>
    <t>Oversowing: No ploughing before, just harrowing at 1 cm depth and sowing on top of the existing vegetation with the purpose of removing herbes and shifting species composition to the desired grass-clover mixtures.</t>
  </si>
  <si>
    <t>Harrowing depth: 7 cm by "Egge" or 1 cm depth using the "Striegel"</t>
  </si>
  <si>
    <t>Height of the vegetation after cutting:</t>
  </si>
  <si>
    <t>900 kg/ha (Dry matter)</t>
  </si>
  <si>
    <t>Aftergrass was usually used as gras sillage</t>
  </si>
  <si>
    <t xml:space="preserve">This information is thought as a supplement  </t>
  </si>
  <si>
    <t>The columns Amount (in original units) and "Original_unit" are showing the original fieldbook entries from the farm.This column is given in orderenable tracing back where the processed numbers (Yield dry matter, Slurry dry matter) come from. Some models might need number of sheep per hectar as input, rather than intake. Based on this information I calculated the amounts given in the columns Yield (kg DM/ha)_Fieldbook, Total Fertilizer DM and the respective C and N in kg/ha. The entry Amount (original_units) refers to how many -&gt; Animal -&gt; Number of animals, Wagon -&gt; number of Wagons, Number of silage or hay bals were taken off. The conversion factors are in the sheet Ernteform_Gewicht.</t>
  </si>
  <si>
    <t>For 2015 and 2016 on parcel 5:</t>
  </si>
  <si>
    <t>A</t>
  </si>
  <si>
    <t>B</t>
  </si>
  <si>
    <t>Beginning at the indicated date at the beginning of the day</t>
  </si>
  <si>
    <t>Ending at the indicated end date at the end of the day</t>
  </si>
  <si>
    <t>sheep: intake of 1.5 kg per sheep and day</t>
  </si>
  <si>
    <t>cattle: intake of 12 kg per animal and day</t>
  </si>
  <si>
    <r>
      <t>Italian ryegrass (</t>
    </r>
    <r>
      <rPr>
        <i/>
        <sz val="12"/>
        <color rgb="FFFF0000"/>
        <rFont val="Calibri"/>
        <family val="2"/>
        <scheme val="minor"/>
      </rPr>
      <t>Lolium multiflorum</t>
    </r>
    <r>
      <rPr>
        <sz val="12"/>
        <color rgb="FFFF0000"/>
        <rFont val="Calibri"/>
        <family val="2"/>
        <scheme val="minor"/>
      </rPr>
      <t>) early sort</t>
    </r>
  </si>
  <si>
    <r>
      <t>Italian ryegrass (</t>
    </r>
    <r>
      <rPr>
        <i/>
        <sz val="12"/>
        <color rgb="FFFF0000"/>
        <rFont val="Calibri"/>
        <family val="2"/>
        <scheme val="minor"/>
      </rPr>
      <t>Lolium perenne</t>
    </r>
    <r>
      <rPr>
        <sz val="12"/>
        <color rgb="FFFF0000"/>
        <rFont val="Calibri"/>
        <family val="2"/>
        <scheme val="minor"/>
      </rPr>
      <t>) later sort</t>
    </r>
  </si>
  <si>
    <r>
      <t>Italian ryegrass (</t>
    </r>
    <r>
      <rPr>
        <i/>
        <sz val="12"/>
        <color rgb="FFFF0000"/>
        <rFont val="Calibri"/>
        <family val="2"/>
        <scheme val="minor"/>
      </rPr>
      <t>Lolium perenne</t>
    </r>
    <r>
      <rPr>
        <sz val="12"/>
        <color rgb="FFFF0000"/>
        <rFont val="Calibri"/>
        <family val="2"/>
        <scheme val="minor"/>
      </rPr>
      <t>) bastard</t>
    </r>
  </si>
  <si>
    <r>
      <rPr>
        <sz val="12"/>
        <color rgb="FFFF0000"/>
        <rFont val="Calibri"/>
        <family val="2"/>
        <scheme val="minor"/>
      </rPr>
      <t>Common meadow-grass</t>
    </r>
    <r>
      <rPr>
        <i/>
        <sz val="12"/>
        <color rgb="FFFF0000"/>
        <rFont val="Calibri"/>
        <family val="2"/>
        <scheme val="minor"/>
      </rPr>
      <t xml:space="preserve"> (Poa pratensis)</t>
    </r>
  </si>
  <si>
    <r>
      <t>Festuca (</t>
    </r>
    <r>
      <rPr>
        <i/>
        <sz val="12"/>
        <color rgb="FFFF0000"/>
        <rFont val="Calibri"/>
        <family val="2"/>
        <scheme val="minor"/>
      </rPr>
      <t>Festuca rubra</t>
    </r>
    <r>
      <rPr>
        <sz val="12"/>
        <color rgb="FFFF0000"/>
        <rFont val="Calibri"/>
        <family val="2"/>
        <scheme val="minor"/>
      </rPr>
      <t>)</t>
    </r>
  </si>
  <si>
    <r>
      <t>Timothy-grass (</t>
    </r>
    <r>
      <rPr>
        <i/>
        <sz val="12"/>
        <color rgb="FFFF0000"/>
        <rFont val="Calibri"/>
        <family val="2"/>
        <scheme val="minor"/>
      </rPr>
      <t>Phleum pratense</t>
    </r>
    <r>
      <rPr>
        <sz val="12"/>
        <color rgb="FFFF0000"/>
        <rFont val="Calibri"/>
        <family val="2"/>
        <scheme val="minor"/>
      </rPr>
      <t>)</t>
    </r>
  </si>
  <si>
    <t>OH-240 Reno</t>
  </si>
  <si>
    <t xml:space="preserve">and OH-240 RenoTurbo </t>
  </si>
  <si>
    <t>For 2018 on parcel 5:</t>
  </si>
  <si>
    <t>However, the area close to the station (distance 0-12m)</t>
  </si>
  <si>
    <t xml:space="preserve">--&gt; Similar seed mixture as in 2015, 2016. </t>
  </si>
  <si>
    <t>with the machinery. No harrowing. Rolling afterwards</t>
  </si>
  <si>
    <t xml:space="preserve">C_content (unitless)_Measurement </t>
  </si>
  <si>
    <t xml:space="preserve">N_content (unitless)_Measurement </t>
  </si>
  <si>
    <t>Red clover MARULA</t>
  </si>
  <si>
    <r>
      <rPr>
        <b/>
        <sz val="11"/>
        <color theme="1"/>
        <rFont val="Arial"/>
        <family val="2"/>
      </rPr>
      <t>Fig.1</t>
    </r>
    <r>
      <rPr>
        <sz val="11"/>
        <color theme="1"/>
        <rFont val="Arial"/>
        <family val="2"/>
      </rPr>
      <t>: Schematic view of the experimental setup for the N2O mitigation experiment (running since 2015, also see Fuchs et al. 2018, https://doi.org/10.5194/bg-15-5519-2018)</t>
    </r>
  </si>
  <si>
    <t>At parcel B clover is oversown regularly. The concept is to replace fertilization with biological nitrogen fixation and like that reduce the N2O emissions (see Fuchs et al. for a more detailed description)</t>
  </si>
  <si>
    <t xml:space="preserve">Parcel A is still fertilized with slurry, usually following a cut. </t>
  </si>
  <si>
    <t>Both parcels (A and B) are usually cut on the same day.</t>
  </si>
  <si>
    <t>The grassland is cut 4-6 times per year.</t>
  </si>
  <si>
    <t>In 2017: no oversowing of clover but still no fertilization on parcel B</t>
  </si>
  <si>
    <t>Experimental setup 2015-2016, see Fuchs et al. 2018: https://doi.org/10.5194/bg-15-5519-2018</t>
  </si>
  <si>
    <t>until 2014:</t>
  </si>
  <si>
    <t>from 2014 onwards:</t>
  </si>
  <si>
    <t xml:space="preserve">Since 13 March 2014 (based on email records) the border of parcel A and B is right at the  eddy station. </t>
  </si>
  <si>
    <t>Before that the border between A and B was located more in the south resulting in a higher contribution of parcel B (parcel 5) to the fluxes measured at the station.</t>
  </si>
  <si>
    <t>Slurry was applied via trailing hoase</t>
  </si>
  <si>
    <t>Additional information on management data</t>
  </si>
  <si>
    <t>In 2017 the farm buildings and the management were taking over by LBBZ Schluechthof Cham, a school for agriculture. Before that it was an official ETH research station. In this transition phase the management was poorly documented, this concerns the years 2017 and 2018.</t>
  </si>
  <si>
    <t>4-7 cm</t>
  </si>
  <si>
    <t xml:space="preserve">has be oversown manually by hand in 2018 instead of </t>
  </si>
  <si>
    <t>Rotklee, Sorte MARULA, Weissklee kleinblättrig,</t>
  </si>
  <si>
    <t>insgesamt 200 g/a, 1/2 FIONA, 1/4 HEBE, 1/4 MARULA in 2018</t>
  </si>
  <si>
    <t>Tb</t>
  </si>
  <si>
    <t>Ally Tabs (applied against Rumex spp. and Senecio spp.)</t>
  </si>
  <si>
    <t>Experimental setup from 2018-ongoing similar to Fuchs et al:</t>
  </si>
  <si>
    <t>Overview parcel size and borders:</t>
  </si>
  <si>
    <t>Contribution to the signal measured at the station are estimates</t>
  </si>
  <si>
    <t>In order to reduce complexity, for 2001 and 2002 only the original subparcel 5a was chosen for representing parcel 5 in the dataset.</t>
  </si>
  <si>
    <t>Management_specific</t>
  </si>
  <si>
    <t>HEBE FIONA MERULA. Sorte HEBE: Trifolium repens (small leaves). Sorte FIONA: Trifolium repens (big leaves). Sorte MARULA: Trifolium pratense. Total 20 kg/ha. Mixture: 27% HEBE  36% FIONA 36% MERULA (15 kg + 20 kg + 20 kg)</t>
  </si>
  <si>
    <t>Type OH (HEBE FIONA TEDI). Trifolium pratense 4n Sorte TEDI - Trifolium repens Sorte HEBE - Trifolium repens Sorte FIONA. Total 200 g/a of each 1/3</t>
  </si>
  <si>
    <t>Ally Tabs (applied on single plants against Rumex spp.)</t>
  </si>
  <si>
    <t>Roundup PowerMax</t>
  </si>
  <si>
    <t>https://www.staehler.ch/de/produkte/detail/roundup-r-powermax%231363</t>
  </si>
  <si>
    <t>Tillage</t>
  </si>
  <si>
    <t>HEBE FIONA MERULA. Sorte HEBE: Trifolium repens (small leaves). Sorte FIONA: Trifolium repens (big leaves). Sorte MERULA: Trifolium pratense. Total 20 kg/ha. Mixture: 1/4 HEBE  1/2 FIONA 1/4 MERULA</t>
  </si>
  <si>
    <t>UFA 420</t>
  </si>
  <si>
    <t>Hobelsaat (tillage until 3-4 cm)</t>
  </si>
  <si>
    <t>chemical analysis of slurry (14.11.2018) missing - inserted previous</t>
  </si>
  <si>
    <t>(140 sheep on both parcels)</t>
  </si>
  <si>
    <t>(48 sheep on both parcels)</t>
  </si>
  <si>
    <t>(138 sheep on both parcels)</t>
  </si>
  <si>
    <t>350 g/a</t>
  </si>
  <si>
    <t>on both parcels</t>
  </si>
  <si>
    <r>
      <t>Fert N</t>
    </r>
    <r>
      <rPr>
        <vertAlign val="subscript"/>
        <sz val="10"/>
        <rFont val="Arial"/>
        <family val="2"/>
      </rPr>
      <t xml:space="preserve">verf </t>
    </r>
  </si>
  <si>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</si>
  <si>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</si>
  <si>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(178 sheep on both parcels)</t>
  </si>
  <si>
    <t>(130 sheep on both parcels)</t>
  </si>
  <si>
    <t>(254 sheep on both parcels)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</si>
</sst>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0"/>
    <numFmt numFmtId="166" formatCode="0.000"/>
  </numFmts>
  <fonts count="48">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b/>
      <sz val="9"/>
      <color indexed="81"/>
      <name val="Calibri"/>
      <family val="2"/>
    </font>
    <font>
      <sz val="9"/>
      <color indexed="81"/>
      <name val="Calibri"/>
      <family val="2"/>
    </font>
    <font>
      <i/>
      <sz val="12"/>
      <color rgb="FF7F7F7F"/>
      <name val="Calibri"/>
      <family val="2"/>
      <scheme val="minor"/>
    </font>
    <font>
      <sz val="12"/>
      <color rgb="FF9C6500"/>
      <name val="Calibri"/>
      <family val="2"/>
      <scheme val="minor"/>
    </font>
    <font>
      <sz val="12"/>
      <name val="Calibri"/>
      <family val="2"/>
    </font>
    <font>
      <sz val="11"/>
      <color theme="1"/>
      <name val="Arial"/>
      <family val="2"/>
    </font>
    <font>
      <b/>
      <sz val="12"/>
      <color theme="6" tint="-0.249977111117893"/>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6"/>
      <name val="Calibri"/>
      <family val="2"/>
      <scheme val="minor"/>
    </font>
    <font>
      <sz val="11"/>
      <color theme="1"/>
      <name val="Calibri (Body)"/>
    </font>
    <font>
      <sz val="11"/>
      <name val="Calibri (Body)"/>
    </font>
    <font>
      <b/>
      <sz val="11"/>
      <color theme="1"/>
      <name val="Calibri (Body)"/>
    </font>
    <font>
      <sz val="11"/>
      <name val="Arial"/>
      <family val="2"/>
    </font>
    <font>
      <sz val="11"/>
      <color rgb="FF000000"/>
      <name val="Arial"/>
      <family val="2"/>
    </font>
    <font>
      <b/>
      <sz val="12"/>
      <color theme="1"/>
      <name val="Arial"/>
      <family val="2"/>
    </font>
    <font>
      <sz val="10"/>
      <color indexed="81"/>
      <name val="Calibri"/>
      <family val="2"/>
    </font>
    <font>
      <b/>
      <sz val="10"/>
      <color indexed="81"/>
      <name val="Calibri"/>
      <family val="2"/>
    </font>
    <font>
      <sz val="12"/>
      <color rgb="FFFF0000"/>
      <name val="Calibri"/>
      <family val="2"/>
      <scheme val="minor"/>
    </font>
    <font>
      <i/>
      <sz val="12"/>
      <color rgb="FFFF0000"/>
      <name val="Calibri"/>
      <family val="2"/>
      <scheme val="minor"/>
    </font>
    <font>
      <b/>
      <sz val="9"/>
      <color rgb="FF000000"/>
      <name val="Calibri"/>
      <family val="2"/>
    </font>
    <font>
      <sz val="9"/>
      <color rgb="FF000000"/>
      <name val="Calibri"/>
      <family val="2"/>
    </font>
    <font>
      <b/>
      <sz val="12"/>
      <color theme="1"/>
      <name val="Calibri"/>
      <family val="2"/>
      <scheme val="minor"/>
    </font>
    <font>
      <b/>
      <sz val="9"/>
      <color indexed="81"/>
      <name val="Tahoma"/>
      <family val="2"/>
    </font>
    <font>
      <sz val="9"/>
      <color indexed="81"/>
      <name val="Tahoma"/>
      <family val="2"/>
    </font>
    <font>
      <b/>
      <sz val="11"/>
      <color theme="1"/>
      <name val="Arial"/>
      <family val="2"/>
    </font>
    <font>
      <sz val="10"/>
      <color theme="1"/>
      <name val="Arial"/>
      <family val="2"/>
    </font>
    <font>
      <sz val="10"/>
      <name val="Arial"/>
      <family val="2"/>
    </font>
    <font>
      <sz val="10"/>
      <color indexed="8"/>
      <name val="Arial"/>
      <family val="2"/>
    </font>
    <font>
      <vertAlign val="subscript"/>
      <sz val="10"/>
      <name val="Arial"/>
      <family val="2"/>
    </font>
    <font>
      <sz val="10"/>
      <color rgb="FF000000"/>
      <name val="Arial"/>
      <family val="2"/>
    </font>
    <font>
      <sz val="10"/>
      <color indexed="206"/>
      <name val="Arial"/>
      <family val="2"/>
    </font>
    <font>
      <i/>
      <sz val="10"/>
      <color rgb="FF7F7F7F"/>
      <name val="Arial"/>
      <family val="2"/>
    </font>
    <font>
      <i/>
      <sz val="10"/>
      <name val="Arial"/>
      <family val="2"/>
    </font>
    <font>
      <sz val="10"/>
      <color rgb="FF18376A"/>
      <name val="Arial"/>
      <family val="2"/>
    </font>
    <font>
      <sz val="10"/>
      <color rgb="FFFF0000"/>
      <name val="Arial"/>
      <family val="2"/>
    </font>
    <font>
      <sz val="10"/>
      <color rgb="FFC00000"/>
      <name val="Arial"/>
      <family val="2"/>
    </font>
  </fonts>
  <fills count="35">
    <fill>
      <patternFill patternType="none"/>
    </fill>
    <fill>
      <patternFill patternType="gray125"/>
    </fill>
    <fill>
      <patternFill patternType="solid">
        <fgColor rgb="FFFFFFCC"/>
      </patternFill>
    </fill>
    <fill>
      <patternFill patternType="solid">
        <fgColor theme="7" tint="0.59999389629810485"/>
        <bgColor indexed="65"/>
      </patternFill>
    </fill>
    <fill>
      <patternFill patternType="solid">
        <fgColor theme="6" tint="0.59999389629810485"/>
        <bgColor indexed="64"/>
      </patternFill>
    </fill>
    <fill>
      <patternFill patternType="solid">
        <fgColor theme="9" tint="0.39997558519241921"/>
        <bgColor indexed="64"/>
      </patternFill>
    </fill>
    <fill>
      <patternFill patternType="solid">
        <fgColor rgb="FFD8E4BC"/>
        <bgColor rgb="FF000000"/>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22"/>
      </patternFill>
    </fill>
    <fill>
      <patternFill patternType="solid">
        <fgColor theme="6" tint="-0.249977111117893"/>
        <bgColor indexed="64"/>
      </patternFill>
    </fill>
    <fill>
      <patternFill patternType="solid">
        <fgColor theme="3" tint="0.39997558519241921"/>
        <bgColor indexed="64"/>
      </patternFill>
    </fill>
    <fill>
      <patternFill patternType="solid">
        <fgColor rgb="FFFFEB9C"/>
      </patternFill>
    </fill>
    <fill>
      <patternFill patternType="solid">
        <fgColor theme="0"/>
        <bgColor indexed="64"/>
      </patternFill>
    </fill>
    <fill>
      <patternFill patternType="solid">
        <fgColor theme="4" tint="0.79998168889431442"/>
        <bgColor indexed="64"/>
      </patternFill>
    </fill>
    <fill>
      <patternFill patternType="solid">
        <fgColor rgb="FF8FD7AA"/>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2" tint="-0.499984740745262"/>
        <bgColor indexed="64"/>
      </patternFill>
    </fill>
    <fill>
      <patternFill patternType="solid">
        <fgColor rgb="FFFFFF00"/>
        <bgColor indexed="64"/>
      </patternFill>
    </fill>
    <fill>
      <patternFill patternType="solid">
        <fgColor theme="5" tint="0.59999389629810485"/>
        <bgColor indexed="65"/>
      </patternFill>
    </fill>
    <fill>
      <patternFill patternType="solid">
        <fgColor theme="5" tint="0.59999389629810485"/>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s>
  <borders count="14">
    <border>
      <left/>
      <right/>
      <top/>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style="thin">
        <color rgb="FFB2B2B2"/>
      </left>
      <right style="thin">
        <color rgb="FFB2B2B2"/>
      </right>
      <top/>
      <bottom/>
      <diagonal/>
    </border>
    <border>
      <left style="thin">
        <color rgb="FFB2B2B2"/>
      </left>
      <right/>
      <top/>
      <bottom/>
      <diagonal/>
    </border>
    <border>
      <left/>
      <right/>
      <top style="thin">
        <color auto="1"/>
      </top>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rgb="FFB2B2B2"/>
      </right>
      <top/>
      <bottom/>
      <diagonal/>
    </border>
  </borders>
  <cellStyleXfs count="2222">
    <xf numFmtId="0" fontId="0" fillId="0" borderId="0"/>
    <xf numFmtId="0" fontId="7" fillId="3" borderId="1" applyFont="0" applyAlignment="0" applyProtection="0"/>
    <xf numFmtId="0" fontId="7" fillId="0" borderId="1" applyFont="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2"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6" fillId="9" borderId="0">
      <alignment wrapText="1"/>
    </xf>
    <xf numFmtId="0" fontId="6" fillId="0" borderId="0">
      <alignment wrapText="1"/>
    </xf>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5" fillId="3" borderId="1" applyFont="0" applyAlignment="0" applyProtection="0"/>
    <xf numFmtId="0" fontId="4" fillId="0" borderId="1" applyFont="0" applyAlignment="0" applyProtection="0"/>
    <xf numFmtId="0" fontId="4" fillId="2" borderId="1" applyNumberFormat="0" applyFont="0" applyAlignment="0" applyProtection="0"/>
    <xf numFmtId="0" fontId="4" fillId="3" borderId="1" applyFont="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3" fillId="3" borderId="1" applyFont="0" applyAlignment="0" applyProtection="0"/>
    <xf numFmtId="0" fontId="3" fillId="0" borderId="1" applyFont="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3" fillId="12" borderId="0" applyNumberFormat="0" applyBorder="0" applyAlignment="0" applyProtection="0"/>
    <xf numFmtId="0" fontId="3" fillId="2" borderId="1" applyNumberFormat="0" applyFont="0" applyAlignment="0" applyProtection="0"/>
    <xf numFmtId="0" fontId="3" fillId="0" borderId="1" applyFont="0" applyAlignment="0" applyProtection="0"/>
    <xf numFmtId="0" fontId="3" fillId="3" borderId="1" applyFont="0" applyAlignment="0" applyProtection="0"/>
    <xf numFmtId="0" fontId="2" fillId="20" borderId="0" applyNumberFormat="0" applyBorder="0" applyAlignment="0" applyProtection="0"/>
    <xf numFmtId="0" fontId="2" fillId="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cellStyleXfs>
  <cellXfs count="161">
    <xf numFmtId="0" fontId="0" fillId="0" borderId="0" xfId="0"/>
    <xf numFmtId="0" fontId="16" fillId="0" borderId="0" xfId="0" applyFont="1"/>
    <xf numFmtId="0" fontId="20" fillId="13" borderId="0" xfId="0" applyFont="1" applyFill="1"/>
    <xf numFmtId="0" fontId="0" fillId="13" borderId="0" xfId="0" applyFill="1"/>
    <xf numFmtId="0" fontId="17" fillId="13" borderId="6" xfId="0" applyFont="1" applyFill="1" applyBorder="1"/>
    <xf numFmtId="0" fontId="0" fillId="13" borderId="6" xfId="0" applyFill="1" applyBorder="1"/>
    <xf numFmtId="0" fontId="17" fillId="13" borderId="0" xfId="0" applyFont="1" applyFill="1"/>
    <xf numFmtId="0" fontId="0" fillId="13" borderId="5" xfId="0" applyFill="1" applyBorder="1"/>
    <xf numFmtId="0" fontId="0" fillId="13" borderId="7" xfId="0" applyFill="1" applyBorder="1"/>
    <xf numFmtId="0" fontId="0" fillId="13" borderId="8" xfId="0" applyFill="1" applyBorder="1"/>
    <xf numFmtId="0" fontId="0" fillId="13" borderId="9" xfId="0" applyFill="1" applyBorder="1"/>
    <xf numFmtId="0" fontId="0" fillId="13" borderId="10" xfId="0" applyFill="1" applyBorder="1"/>
    <xf numFmtId="0" fontId="19" fillId="13" borderId="0" xfId="0" applyFont="1" applyFill="1"/>
    <xf numFmtId="0" fontId="0" fillId="13" borderId="11" xfId="0" applyFill="1" applyBorder="1"/>
    <xf numFmtId="0" fontId="0" fillId="13" borderId="12" xfId="0" applyFill="1" applyBorder="1"/>
    <xf numFmtId="0" fontId="21" fillId="13" borderId="0" xfId="0" applyFont="1" applyFill="1"/>
    <xf numFmtId="165" fontId="0" fillId="13" borderId="0" xfId="0" applyNumberFormat="1" applyFill="1"/>
    <xf numFmtId="1" fontId="0" fillId="13" borderId="0" xfId="0" applyNumberFormat="1" applyFill="1"/>
    <xf numFmtId="0" fontId="21" fillId="13" borderId="6" xfId="0" applyFont="1" applyFill="1" applyBorder="1"/>
    <xf numFmtId="165" fontId="0" fillId="13" borderId="6" xfId="0" applyNumberFormat="1" applyFill="1" applyBorder="1"/>
    <xf numFmtId="1" fontId="0" fillId="13" borderId="6" xfId="0" applyNumberFormat="1" applyFill="1" applyBorder="1"/>
    <xf numFmtId="0" fontId="18" fillId="13" borderId="0" xfId="0" quotePrefix="1" applyFont="1" applyFill="1"/>
    <xf numFmtId="0" fontId="19" fillId="13" borderId="6" xfId="0" applyFont="1" applyFill="1" applyBorder="1"/>
    <xf numFmtId="0" fontId="22" fillId="13" borderId="0" xfId="0" applyFont="1" applyFill="1"/>
    <xf numFmtId="0" fontId="14" fillId="13" borderId="0" xfId="935" applyFont="1" applyFill="1" applyBorder="1" applyAlignment="1" applyProtection="1">
      <alignment horizontal="left" vertical="center"/>
      <protection locked="0"/>
    </xf>
    <xf numFmtId="0" fontId="23" fillId="13" borderId="0" xfId="0" applyFont="1" applyFill="1"/>
    <xf numFmtId="0" fontId="15" fillId="0" borderId="0" xfId="0" applyFont="1"/>
    <xf numFmtId="0" fontId="15" fillId="8" borderId="0" xfId="0" applyFont="1" applyFill="1"/>
    <xf numFmtId="0" fontId="15" fillId="10" borderId="0" xfId="0" applyFont="1" applyFill="1"/>
    <xf numFmtId="0" fontId="15" fillId="14" borderId="0" xfId="0" applyFont="1" applyFill="1"/>
    <xf numFmtId="0" fontId="15" fillId="17" borderId="0" xfId="0" applyFont="1" applyFill="1"/>
    <xf numFmtId="0" fontId="24" fillId="0" borderId="1" xfId="935" applyFont="1" applyAlignment="1" applyProtection="1">
      <alignment horizontal="left" vertical="center"/>
      <protection locked="0"/>
    </xf>
    <xf numFmtId="0" fontId="24" fillId="5" borderId="0" xfId="0" applyFont="1" applyFill="1"/>
    <xf numFmtId="0" fontId="15" fillId="18" borderId="0" xfId="0" applyFont="1" applyFill="1"/>
    <xf numFmtId="0" fontId="24" fillId="16" borderId="0" xfId="0" applyFont="1" applyFill="1"/>
    <xf numFmtId="0" fontId="25" fillId="0" borderId="0" xfId="0" applyFont="1" applyAlignment="1">
      <alignment horizontal="left"/>
    </xf>
    <xf numFmtId="0" fontId="24" fillId="0" borderId="0" xfId="0" applyFont="1"/>
    <xf numFmtId="0" fontId="19" fillId="0" borderId="0" xfId="0" applyFont="1"/>
    <xf numFmtId="0" fontId="26" fillId="0" borderId="0" xfId="0" applyFont="1"/>
    <xf numFmtId="0" fontId="15" fillId="0" borderId="0" xfId="0" applyFont="1" applyAlignment="1">
      <alignment wrapText="1"/>
    </xf>
    <xf numFmtId="0" fontId="0" fillId="0" borderId="0" xfId="0" applyAlignment="1">
      <alignment wrapText="1"/>
    </xf>
    <xf numFmtId="0" fontId="18" fillId="0" borderId="0" xfId="0" applyFont="1"/>
    <xf numFmtId="0" fontId="15" fillId="19" borderId="0" xfId="0" applyFont="1" applyFill="1"/>
    <xf numFmtId="0" fontId="29" fillId="13" borderId="0" xfId="0" applyFont="1" applyFill="1"/>
    <xf numFmtId="0" fontId="30" fillId="13" borderId="0" xfId="0" applyFont="1" applyFill="1"/>
    <xf numFmtId="0" fontId="0" fillId="13" borderId="0" xfId="0" quotePrefix="1" applyFill="1"/>
    <xf numFmtId="0" fontId="33" fillId="0" borderId="0" xfId="0" applyFont="1"/>
    <xf numFmtId="0" fontId="15" fillId="0" borderId="0" xfId="0" applyFont="1" applyAlignment="1">
      <alignment horizontal="left"/>
    </xf>
    <xf numFmtId="0" fontId="37" fillId="0" borderId="0" xfId="0" applyFont="1"/>
    <xf numFmtId="1" fontId="38" fillId="11" borderId="1" xfId="937" applyNumberFormat="1" applyFont="1" applyFill="1" applyAlignment="1" applyProtection="1">
      <alignment horizontal="center" vertical="center"/>
      <protection locked="0"/>
    </xf>
    <xf numFmtId="0" fontId="38" fillId="11" borderId="1" xfId="937" applyFont="1" applyFill="1" applyAlignment="1" applyProtection="1">
      <alignment horizontal="center" vertical="center"/>
      <protection locked="0"/>
    </xf>
    <xf numFmtId="0" fontId="38" fillId="11" borderId="1" xfId="937" applyFont="1" applyFill="1" applyAlignment="1" applyProtection="1">
      <alignment horizontal="left" vertical="center"/>
      <protection locked="0"/>
    </xf>
    <xf numFmtId="164" fontId="38" fillId="11" borderId="1" xfId="937" applyNumberFormat="1" applyFont="1" applyFill="1" applyAlignment="1" applyProtection="1">
      <alignment horizontal="center" vertical="center"/>
      <protection locked="0"/>
    </xf>
    <xf numFmtId="1" fontId="38" fillId="11" borderId="1" xfId="937" applyNumberFormat="1" applyFont="1" applyFill="1" applyAlignment="1" applyProtection="1">
      <alignment horizontal="right" vertical="center"/>
      <protection locked="0"/>
    </xf>
    <xf numFmtId="2" fontId="38" fillId="11" borderId="1" xfId="937" applyNumberFormat="1" applyFont="1" applyFill="1" applyAlignment="1" applyProtection="1">
      <alignment horizontal="right" vertical="center"/>
      <protection locked="0"/>
    </xf>
    <xf numFmtId="0" fontId="37" fillId="11" borderId="1" xfId="937" applyFont="1" applyFill="1"/>
    <xf numFmtId="165" fontId="39" fillId="5" borderId="0" xfId="0" applyNumberFormat="1" applyFont="1" applyFill="1" applyAlignment="1">
      <alignment horizontal="left" vertical="center"/>
    </xf>
    <xf numFmtId="2" fontId="39" fillId="5" borderId="0" xfId="0" applyNumberFormat="1" applyFont="1" applyFill="1" applyAlignment="1">
      <alignment horizontal="left" vertical="center"/>
    </xf>
    <xf numFmtId="0" fontId="38" fillId="5" borderId="1" xfId="937" applyFont="1" applyFill="1" applyAlignment="1" applyProtection="1">
      <alignment horizontal="center" vertical="center"/>
      <protection locked="0"/>
    </xf>
    <xf numFmtId="2" fontId="38" fillId="5" borderId="1" xfId="937" applyNumberFormat="1" applyFont="1" applyFill="1" applyAlignment="1" applyProtection="1">
      <alignment horizontal="center" vertical="center"/>
      <protection locked="0"/>
    </xf>
    <xf numFmtId="165" fontId="39" fillId="8" borderId="0" xfId="0" applyNumberFormat="1" applyFont="1" applyFill="1" applyAlignment="1">
      <alignment horizontal="right" vertical="center"/>
    </xf>
    <xf numFmtId="165" fontId="39" fillId="8" borderId="0" xfId="0" applyNumberFormat="1" applyFont="1" applyFill="1" applyAlignment="1">
      <alignment horizontal="left" vertical="center"/>
    </xf>
    <xf numFmtId="166" fontId="39" fillId="10" borderId="0" xfId="0" applyNumberFormat="1" applyFont="1" applyFill="1" applyAlignment="1">
      <alignment horizontal="right" vertical="center"/>
    </xf>
    <xf numFmtId="165" fontId="39" fillId="10" borderId="0" xfId="0" applyNumberFormat="1" applyFont="1" applyFill="1" applyAlignment="1">
      <alignment horizontal="left" vertical="center"/>
    </xf>
    <xf numFmtId="0" fontId="37" fillId="10" borderId="0" xfId="0" applyFont="1" applyFill="1"/>
    <xf numFmtId="1" fontId="37" fillId="0" borderId="1" xfId="935" applyNumberFormat="1" applyFont="1"/>
    <xf numFmtId="1" fontId="37" fillId="30" borderId="1" xfId="935" applyNumberFormat="1" applyFont="1" applyFill="1" applyAlignment="1">
      <alignment horizontal="left" indent="2"/>
    </xf>
    <xf numFmtId="0" fontId="38" fillId="0" borderId="1" xfId="935" applyFont="1" applyAlignment="1" applyProtection="1">
      <alignment horizontal="left" vertical="center"/>
      <protection locked="0"/>
    </xf>
    <xf numFmtId="164" fontId="38" fillId="4" borderId="1" xfId="936" applyNumberFormat="1" applyFont="1" applyFill="1" applyAlignment="1" applyProtection="1">
      <alignment horizontal="center"/>
      <protection locked="0"/>
    </xf>
    <xf numFmtId="1" fontId="38" fillId="0" borderId="1" xfId="935" applyNumberFormat="1" applyFont="1" applyAlignment="1" applyProtection="1">
      <alignment horizontal="right" vertical="center"/>
      <protection locked="0"/>
    </xf>
    <xf numFmtId="2" fontId="37" fillId="0" borderId="0" xfId="0" applyNumberFormat="1" applyFont="1" applyAlignment="1">
      <alignment horizontal="right"/>
    </xf>
    <xf numFmtId="0" fontId="37" fillId="0" borderId="0" xfId="0" applyFont="1" applyAlignment="1">
      <alignment horizontal="right"/>
    </xf>
    <xf numFmtId="0" fontId="39" fillId="0" borderId="0" xfId="0" applyFont="1" applyAlignment="1">
      <alignment horizontal="right" vertical="center"/>
    </xf>
    <xf numFmtId="2" fontId="39" fillId="0" borderId="0" xfId="0" applyNumberFormat="1" applyFont="1" applyAlignment="1">
      <alignment horizontal="right" vertical="center"/>
    </xf>
    <xf numFmtId="0" fontId="39" fillId="0" borderId="0" xfId="0" applyFont="1" applyAlignment="1">
      <alignment horizontal="left" vertical="center"/>
    </xf>
    <xf numFmtId="0" fontId="38" fillId="0" borderId="0" xfId="935" applyFont="1" applyBorder="1" applyAlignment="1" applyProtection="1">
      <alignment horizontal="left" vertical="center"/>
      <protection locked="0"/>
    </xf>
    <xf numFmtId="0" fontId="41" fillId="0" borderId="0" xfId="0" applyFont="1" applyAlignment="1">
      <alignment horizontal="right" vertical="center"/>
    </xf>
    <xf numFmtId="0" fontId="38" fillId="0" borderId="1" xfId="0" applyFont="1" applyBorder="1" applyAlignment="1" applyProtection="1">
      <alignment horizontal="left" vertical="center"/>
      <protection locked="0"/>
    </xf>
    <xf numFmtId="0" fontId="37" fillId="0" borderId="1" xfId="0" applyFont="1" applyBorder="1"/>
    <xf numFmtId="1" fontId="37" fillId="31" borderId="1" xfId="935" applyNumberFormat="1" applyFont="1" applyFill="1" applyAlignment="1">
      <alignment horizontal="left" indent="2"/>
    </xf>
    <xf numFmtId="1" fontId="39" fillId="0" borderId="0" xfId="0" applyNumberFormat="1" applyFont="1" applyAlignment="1">
      <alignment horizontal="right" vertical="center"/>
    </xf>
    <xf numFmtId="0" fontId="37" fillId="19" borderId="0" xfId="0" applyFont="1" applyFill="1" applyAlignment="1">
      <alignment horizontal="right"/>
    </xf>
    <xf numFmtId="0" fontId="37" fillId="19" borderId="0" xfId="0" applyFont="1" applyFill="1"/>
    <xf numFmtId="0" fontId="41" fillId="0" borderId="0" xfId="0" applyFont="1"/>
    <xf numFmtId="164" fontId="38" fillId="6" borderId="1" xfId="0" applyNumberFormat="1" applyFont="1" applyFill="1" applyBorder="1" applyAlignment="1" applyProtection="1">
      <alignment horizontal="center"/>
      <protection locked="0"/>
    </xf>
    <xf numFmtId="2" fontId="41" fillId="0" borderId="0" xfId="0" applyNumberFormat="1" applyFont="1"/>
    <xf numFmtId="0" fontId="37" fillId="0" borderId="0" xfId="0" applyFont="1" applyAlignment="1">
      <alignment horizontal="left"/>
    </xf>
    <xf numFmtId="0" fontId="42" fillId="0" borderId="0" xfId="0" applyFont="1"/>
    <xf numFmtId="0" fontId="42" fillId="0" borderId="0" xfId="0" applyFont="1" applyAlignment="1">
      <alignment horizontal="right"/>
    </xf>
    <xf numFmtId="0" fontId="38" fillId="0" borderId="0" xfId="0" applyFont="1" applyAlignment="1" applyProtection="1">
      <alignment horizontal="left" vertical="center"/>
      <protection locked="0"/>
    </xf>
    <xf numFmtId="0" fontId="38" fillId="0" borderId="0" xfId="0" applyFont="1" applyAlignment="1">
      <alignment horizontal="left" vertical="center"/>
    </xf>
    <xf numFmtId="0" fontId="39" fillId="0" borderId="0" xfId="0" applyFont="1" applyAlignment="1">
      <alignment vertical="center"/>
    </xf>
    <xf numFmtId="0" fontId="43" fillId="0" borderId="0" xfId="723" applyNumberFormat="1" applyFont="1" applyAlignment="1">
      <alignment horizontal="right" vertical="center"/>
    </xf>
    <xf numFmtId="0" fontId="44" fillId="0" borderId="0" xfId="723" applyNumberFormat="1" applyFont="1" applyAlignment="1">
      <alignment horizontal="left" vertical="center"/>
    </xf>
    <xf numFmtId="0" fontId="43" fillId="0" borderId="0" xfId="723" applyNumberFormat="1" applyFont="1" applyFill="1" applyAlignment="1">
      <alignment horizontal="right" vertical="center"/>
    </xf>
    <xf numFmtId="0" fontId="43" fillId="0" borderId="0" xfId="723" applyNumberFormat="1" applyFont="1" applyFill="1" applyAlignment="1">
      <alignment horizontal="left" vertical="center"/>
    </xf>
    <xf numFmtId="1" fontId="38" fillId="0" borderId="1" xfId="0" applyNumberFormat="1" applyFont="1" applyBorder="1" applyAlignment="1" applyProtection="1">
      <alignment horizontal="right" vertical="center"/>
      <protection locked="0"/>
    </xf>
    <xf numFmtId="1" fontId="38" fillId="0" borderId="2" xfId="0" applyNumberFormat="1" applyFont="1" applyBorder="1" applyAlignment="1" applyProtection="1">
      <alignment horizontal="right" vertical="center"/>
      <protection locked="0"/>
    </xf>
    <xf numFmtId="1" fontId="38" fillId="0" borderId="2" xfId="935" applyNumberFormat="1" applyFont="1" applyBorder="1" applyAlignment="1" applyProtection="1">
      <alignment horizontal="right" vertical="center"/>
      <protection locked="0"/>
    </xf>
    <xf numFmtId="1" fontId="38" fillId="7" borderId="1" xfId="935" applyNumberFormat="1" applyFont="1" applyFill="1" applyAlignment="1"/>
    <xf numFmtId="2" fontId="37" fillId="0" borderId="0" xfId="0" applyNumberFormat="1" applyFont="1"/>
    <xf numFmtId="1" fontId="38" fillId="0" borderId="0" xfId="935" applyNumberFormat="1" applyFont="1" applyBorder="1" applyAlignment="1" applyProtection="1">
      <alignment horizontal="right" vertical="center"/>
      <protection locked="0"/>
    </xf>
    <xf numFmtId="0" fontId="38" fillId="0" borderId="0" xfId="935" applyFont="1" applyBorder="1" applyAlignment="1" applyProtection="1">
      <alignment horizontal="right" vertical="center"/>
      <protection locked="0"/>
    </xf>
    <xf numFmtId="0" fontId="38" fillId="0" borderId="4" xfId="935" applyFont="1" applyBorder="1" applyAlignment="1" applyProtection="1">
      <alignment horizontal="right" vertical="center"/>
      <protection locked="0"/>
    </xf>
    <xf numFmtId="0" fontId="39" fillId="0" borderId="4" xfId="0" applyFont="1" applyBorder="1" applyAlignment="1">
      <alignment horizontal="right" vertical="center"/>
    </xf>
    <xf numFmtId="1" fontId="37" fillId="5" borderId="1" xfId="935" applyNumberFormat="1" applyFont="1" applyFill="1" applyAlignment="1"/>
    <xf numFmtId="0" fontId="37" fillId="0" borderId="0" xfId="0" applyFont="1" applyAlignment="1">
      <alignment vertical="center"/>
    </xf>
    <xf numFmtId="0" fontId="37" fillId="0" borderId="3" xfId="0" applyFont="1" applyBorder="1" applyAlignment="1">
      <alignment vertical="center"/>
    </xf>
    <xf numFmtId="0" fontId="45" fillId="0" borderId="0" xfId="0" applyFont="1"/>
    <xf numFmtId="0" fontId="38" fillId="0" borderId="3" xfId="935" applyFont="1" applyBorder="1" applyAlignment="1" applyProtection="1">
      <alignment horizontal="right" vertical="center"/>
      <protection locked="0"/>
    </xf>
    <xf numFmtId="1" fontId="37" fillId="20" borderId="1" xfId="2212" applyNumberFormat="1" applyFont="1" applyBorder="1" applyAlignment="1"/>
    <xf numFmtId="1" fontId="37" fillId="30" borderId="1" xfId="2210" applyNumberFormat="1" applyFont="1" applyFill="1" applyAlignment="1">
      <alignment horizontal="left" indent="2"/>
    </xf>
    <xf numFmtId="0" fontId="38" fillId="0" borderId="1" xfId="2210" applyFont="1" applyAlignment="1" applyProtection="1">
      <alignment horizontal="left" vertical="center"/>
      <protection locked="0"/>
    </xf>
    <xf numFmtId="1" fontId="38" fillId="0" borderId="1" xfId="2210" applyNumberFormat="1" applyFont="1" applyAlignment="1" applyProtection="1">
      <alignment horizontal="right" vertical="center"/>
      <protection locked="0"/>
    </xf>
    <xf numFmtId="0" fontId="39" fillId="19" borderId="0" xfId="0" applyFont="1" applyFill="1" applyAlignment="1">
      <alignment horizontal="right" vertical="center"/>
    </xf>
    <xf numFmtId="1" fontId="37" fillId="30" borderId="3" xfId="2210" applyNumberFormat="1" applyFont="1" applyFill="1" applyBorder="1" applyAlignment="1">
      <alignment horizontal="left" indent="2"/>
    </xf>
    <xf numFmtId="0" fontId="38" fillId="0" borderId="3" xfId="2210" applyFont="1" applyBorder="1" applyAlignment="1" applyProtection="1">
      <alignment horizontal="left" vertical="center"/>
      <protection locked="0"/>
    </xf>
    <xf numFmtId="0" fontId="38" fillId="0" borderId="13" xfId="2210" applyFont="1" applyBorder="1" applyAlignment="1" applyProtection="1">
      <alignment horizontal="left" vertical="center"/>
      <protection locked="0"/>
    </xf>
    <xf numFmtId="1" fontId="37" fillId="31" borderId="3" xfId="2210" applyNumberFormat="1" applyFont="1" applyFill="1" applyBorder="1" applyAlignment="1">
      <alignment horizontal="left" indent="2"/>
    </xf>
    <xf numFmtId="1" fontId="37" fillId="20" borderId="3" xfId="2212" applyNumberFormat="1" applyFont="1" applyBorder="1" applyAlignment="1"/>
    <xf numFmtId="1" fontId="37" fillId="15" borderId="3" xfId="2210" applyNumberFormat="1" applyFont="1" applyFill="1" applyBorder="1" applyAlignment="1"/>
    <xf numFmtId="2" fontId="37" fillId="21" borderId="0" xfId="0" applyNumberFormat="1" applyFont="1" applyFill="1" applyAlignment="1">
      <alignment horizontal="right"/>
    </xf>
    <xf numFmtId="0" fontId="37" fillId="21" borderId="0" xfId="0" applyFont="1" applyFill="1" applyAlignment="1">
      <alignment horizontal="right"/>
    </xf>
    <xf numFmtId="2" fontId="37" fillId="19" borderId="0" xfId="0" applyNumberFormat="1" applyFont="1" applyFill="1" applyAlignment="1">
      <alignment horizontal="right"/>
    </xf>
    <xf numFmtId="0" fontId="46" fillId="19" borderId="0" xfId="0" applyFont="1" applyFill="1"/>
    <xf numFmtId="2" fontId="39" fillId="19" borderId="0" xfId="0" applyNumberFormat="1" applyFont="1" applyFill="1" applyAlignment="1">
      <alignment horizontal="right" vertical="center"/>
    </xf>
    <xf numFmtId="0" fontId="39" fillId="19" borderId="0" xfId="0" applyFont="1" applyFill="1" applyAlignment="1">
      <alignment horizontal="left" vertical="center"/>
    </xf>
    <xf numFmtId="0" fontId="39" fillId="19" borderId="0" xfId="0" applyFont="1" applyFill="1" applyAlignment="1">
      <alignment vertical="center"/>
    </xf>
    <xf numFmtId="165" fontId="39" fillId="0" borderId="0" xfId="0" applyNumberFormat="1" applyFont="1" applyAlignment="1">
      <alignment horizontal="right" vertical="center"/>
    </xf>
    <xf numFmtId="0" fontId="38" fillId="0" borderId="1" xfId="2210" applyFont="1" applyAlignment="1" applyProtection="1">
      <alignment horizontal="right" vertical="center"/>
      <protection locked="0"/>
    </xf>
    <xf numFmtId="0" fontId="37" fillId="0" borderId="3" xfId="0" applyFont="1" applyBorder="1"/>
    <xf numFmtId="1" fontId="37" fillId="3" borderId="3" xfId="2213" applyNumberFormat="1" applyFont="1" applyBorder="1" applyAlignment="1"/>
    <xf numFmtId="0" fontId="38" fillId="0" borderId="1" xfId="935" applyFont="1" applyAlignment="1" applyProtection="1">
      <alignment horizontal="right" vertical="center"/>
      <protection locked="0"/>
    </xf>
    <xf numFmtId="0" fontId="38" fillId="0" borderId="4" xfId="2210" applyFont="1" applyBorder="1" applyAlignment="1" applyProtection="1">
      <alignment horizontal="left" vertical="center"/>
      <protection locked="0"/>
    </xf>
    <xf numFmtId="0" fontId="37" fillId="0" borderId="4" xfId="0" applyFont="1" applyBorder="1"/>
    <xf numFmtId="1" fontId="37" fillId="21" borderId="3" xfId="2213" applyNumberFormat="1" applyFont="1" applyFill="1" applyBorder="1" applyAlignment="1"/>
    <xf numFmtId="1" fontId="37" fillId="28" borderId="3" xfId="2220" applyNumberFormat="1" applyFont="1" applyBorder="1" applyAlignment="1"/>
    <xf numFmtId="1" fontId="37" fillId="0" borderId="1" xfId="2210" applyNumberFormat="1" applyFont="1"/>
    <xf numFmtId="1" fontId="37" fillId="32" borderId="3" xfId="2220" applyNumberFormat="1" applyFont="1" applyFill="1" applyBorder="1" applyAlignment="1"/>
    <xf numFmtId="164" fontId="38" fillId="4" borderId="1" xfId="2209" applyNumberFormat="1" applyFont="1" applyFill="1" applyAlignment="1" applyProtection="1">
      <alignment horizontal="center"/>
      <protection locked="0"/>
    </xf>
    <xf numFmtId="166" fontId="39" fillId="0" borderId="0" xfId="0" applyNumberFormat="1" applyFont="1" applyAlignment="1">
      <alignment horizontal="right" vertical="center"/>
    </xf>
    <xf numFmtId="1" fontId="37" fillId="33" borderId="1" xfId="2210" applyNumberFormat="1" applyFont="1" applyFill="1"/>
    <xf numFmtId="1" fontId="39" fillId="0" borderId="0" xfId="0" applyNumberFormat="1" applyFont="1" applyAlignment="1">
      <alignment horizontal="left" vertical="center"/>
    </xf>
    <xf numFmtId="1" fontId="37" fillId="34" borderId="1" xfId="2210" applyNumberFormat="1" applyFont="1" applyFill="1"/>
    <xf numFmtId="1" fontId="37" fillId="22" borderId="1" xfId="2214" applyNumberFormat="1" applyFont="1" applyBorder="1" applyAlignment="1"/>
    <xf numFmtId="1" fontId="37" fillId="24" borderId="1" xfId="2216" applyNumberFormat="1" applyFont="1" applyBorder="1" applyAlignment="1"/>
    <xf numFmtId="1" fontId="37" fillId="29" borderId="1" xfId="2221" applyNumberFormat="1" applyFont="1" applyBorder="1" applyAlignment="1"/>
    <xf numFmtId="1" fontId="37" fillId="26" borderId="1" xfId="2218" applyNumberFormat="1" applyFont="1" applyBorder="1" applyAlignment="1"/>
    <xf numFmtId="1" fontId="37" fillId="3" borderId="1" xfId="2213" applyNumberFormat="1" applyFont="1" applyBorder="1" applyAlignment="1"/>
    <xf numFmtId="1" fontId="37" fillId="27" borderId="1" xfId="2219" applyNumberFormat="1" applyFont="1" applyBorder="1" applyAlignment="1"/>
    <xf numFmtId="1" fontId="37" fillId="23" borderId="1" xfId="2215" applyNumberFormat="1" applyFont="1" applyBorder="1" applyAlignment="1"/>
    <xf numFmtId="1" fontId="37" fillId="25" borderId="1" xfId="2217" applyNumberFormat="1" applyFont="1" applyBorder="1" applyAlignment="1"/>
    <xf numFmtId="1" fontId="37" fillId="24" borderId="1" xfId="2216" applyNumberFormat="1" applyFont="1" applyBorder="1"/>
    <xf numFmtId="0" fontId="47" fillId="19" borderId="0" xfId="0" applyFont="1" applyFill="1" applyAlignment="1">
      <alignment horizontal="left"/>
    </xf>
    <xf numFmtId="1" fontId="37" fillId="0" borderId="0" xfId="0" applyNumberFormat="1" applyFont="1" applyAlignment="1">
      <alignment horizontal="right"/>
    </xf>
    <xf numFmtId="165" fontId="37" fillId="0" borderId="0" xfId="0" applyNumberFormat="1" applyFont="1" applyAlignment="1">
      <alignment horizontal="right"/>
    </xf>
    <xf numFmtId="1" fontId="37" fillId="0" borderId="0" xfId="0" applyNumberFormat="1" applyFont="1"/>
    <xf numFmtId="164" fontId="37" fillId="0" borderId="0" xfId="0" applyNumberFormat="1" applyFont="1"/>
    <xf numFmtId="2" fontId="39" fillId="10" borderId="0" xfId="0" applyNumberFormat="1" applyFont="1" applyFill="1" applyAlignment="1">
      <alignment horizontal="right" vertical="center"/>
    </xf>
    <xf numFmtId="2" fontId="38" fillId="0" borderId="0" xfId="0" applyNumberFormat="1" applyFont="1" applyAlignment="1">
      <alignment horizontal="right" vertical="center"/>
    </xf>
    <xf numFmtId="2" fontId="38" fillId="0" borderId="0" xfId="0" applyNumberFormat="1" applyFont="1" applyAlignment="1">
      <alignment horizontal="right"/>
    </xf>
  </cellXfs>
  <cellStyles count="2222">
    <cellStyle name="20% - Accent2" xfId="2215" builtinId="34"/>
    <cellStyle name="20% - Accent5" xfId="2217" builtinId="46"/>
    <cellStyle name="20% - Accent6" xfId="2219" builtinId="50"/>
    <cellStyle name="40% - Accent1" xfId="2214" builtinId="31"/>
    <cellStyle name="40% - Accent2" xfId="2212" builtinId="35"/>
    <cellStyle name="40% - Accent3" xfId="2216" builtinId="39"/>
    <cellStyle name="40% - Accent4" xfId="2213" builtinId="43"/>
    <cellStyle name="40% - Accent5" xfId="2218" builtinId="47"/>
    <cellStyle name="40% - Accent6" xfId="2220" builtinId="51"/>
    <cellStyle name="60% - Accent6" xfId="2221" builtinId="52"/>
    <cellStyle name="Explanatory Text" xfId="723" builtinId="53"/>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9" builtinId="9" hidden="1"/>
    <cellStyle name="Followed Hyperlink" xfId="931" builtinId="9" hidden="1"/>
    <cellStyle name="Followed Hyperlink" xfId="933" builtinId="9" hidden="1"/>
    <cellStyle name="Followed Hyperlink" xfId="939"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Followed Hyperlink" xfId="1283" builtinId="9" hidden="1"/>
    <cellStyle name="Followed Hyperlink" xfId="1285" builtinId="9" hidden="1"/>
    <cellStyle name="Followed Hyperlink" xfId="1287" builtinId="9" hidden="1"/>
    <cellStyle name="Followed Hyperlink" xfId="1289" builtinId="9" hidden="1"/>
    <cellStyle name="Followed Hyperlink" xfId="1291" builtinId="9" hidden="1"/>
    <cellStyle name="Followed Hyperlink" xfId="1293" builtinId="9" hidden="1"/>
    <cellStyle name="Followed Hyperlink" xfId="1295" builtinId="9" hidden="1"/>
    <cellStyle name="Followed Hyperlink" xfId="1297" builtinId="9" hidden="1"/>
    <cellStyle name="Followed Hyperlink" xfId="1299" builtinId="9" hidden="1"/>
    <cellStyle name="Followed Hyperlink" xfId="1301" builtinId="9" hidden="1"/>
    <cellStyle name="Followed Hyperlink" xfId="1303" builtinId="9" hidden="1"/>
    <cellStyle name="Followed Hyperlink" xfId="1305" builtinId="9" hidden="1"/>
    <cellStyle name="Followed Hyperlink" xfId="1307" builtinId="9" hidden="1"/>
    <cellStyle name="Followed Hyperlink" xfId="1309" builtinId="9" hidden="1"/>
    <cellStyle name="Followed Hyperlink" xfId="1311" builtinId="9" hidden="1"/>
    <cellStyle name="Followed Hyperlink" xfId="1313" builtinId="9" hidden="1"/>
    <cellStyle name="Followed Hyperlink" xfId="1315" builtinId="9" hidden="1"/>
    <cellStyle name="Followed Hyperlink" xfId="1317" builtinId="9" hidden="1"/>
    <cellStyle name="Followed Hyperlink" xfId="1319" builtinId="9" hidden="1"/>
    <cellStyle name="Followed Hyperlink" xfId="1321" builtinId="9" hidden="1"/>
    <cellStyle name="Followed Hyperlink" xfId="1323" builtinId="9" hidden="1"/>
    <cellStyle name="Followed Hyperlink" xfId="1325" builtinId="9" hidden="1"/>
    <cellStyle name="Followed Hyperlink" xfId="1327" builtinId="9" hidden="1"/>
    <cellStyle name="Followed Hyperlink" xfId="1329" builtinId="9" hidden="1"/>
    <cellStyle name="Followed Hyperlink" xfId="1331" builtinId="9" hidden="1"/>
    <cellStyle name="Followed Hyperlink" xfId="1333" builtinId="9" hidden="1"/>
    <cellStyle name="Followed Hyperlink" xfId="1335" builtinId="9" hidden="1"/>
    <cellStyle name="Followed Hyperlink" xfId="1337" builtinId="9" hidden="1"/>
    <cellStyle name="Followed Hyperlink" xfId="1339" builtinId="9" hidden="1"/>
    <cellStyle name="Followed Hyperlink" xfId="1341" builtinId="9" hidden="1"/>
    <cellStyle name="Followed Hyperlink" xfId="1343" builtinId="9" hidden="1"/>
    <cellStyle name="Followed Hyperlink" xfId="1345" builtinId="9" hidden="1"/>
    <cellStyle name="Followed Hyperlink" xfId="1347" builtinId="9" hidden="1"/>
    <cellStyle name="Followed Hyperlink" xfId="1349" builtinId="9" hidden="1"/>
    <cellStyle name="Followed Hyperlink" xfId="1351" builtinId="9" hidden="1"/>
    <cellStyle name="Followed Hyperlink" xfId="1353" builtinId="9" hidden="1"/>
    <cellStyle name="Followed Hyperlink" xfId="1355" builtinId="9" hidden="1"/>
    <cellStyle name="Followed Hyperlink" xfId="1357" builtinId="9" hidden="1"/>
    <cellStyle name="Followed Hyperlink" xfId="1359" builtinId="9" hidden="1"/>
    <cellStyle name="Followed Hyperlink" xfId="1361" builtinId="9" hidden="1"/>
    <cellStyle name="Followed Hyperlink" xfId="1363" builtinId="9" hidden="1"/>
    <cellStyle name="Followed Hyperlink" xfId="1365" builtinId="9" hidden="1"/>
    <cellStyle name="Followed Hyperlink" xfId="1367" builtinId="9" hidden="1"/>
    <cellStyle name="Followed Hyperlink" xfId="1369" builtinId="9" hidden="1"/>
    <cellStyle name="Followed Hyperlink" xfId="1371" builtinId="9" hidden="1"/>
    <cellStyle name="Followed Hyperlink" xfId="1373" builtinId="9" hidden="1"/>
    <cellStyle name="Followed Hyperlink" xfId="1375" builtinId="9" hidden="1"/>
    <cellStyle name="Followed Hyperlink" xfId="1377" builtinId="9" hidden="1"/>
    <cellStyle name="Followed Hyperlink" xfId="1379" builtinId="9" hidden="1"/>
    <cellStyle name="Followed Hyperlink" xfId="1381" builtinId="9" hidden="1"/>
    <cellStyle name="Followed Hyperlink" xfId="1383" builtinId="9" hidden="1"/>
    <cellStyle name="Followed Hyperlink" xfId="1385" builtinId="9" hidden="1"/>
    <cellStyle name="Followed Hyperlink" xfId="1387" builtinId="9" hidden="1"/>
    <cellStyle name="Followed Hyperlink" xfId="1389" builtinId="9" hidden="1"/>
    <cellStyle name="Followed Hyperlink" xfId="1391" builtinId="9" hidden="1"/>
    <cellStyle name="Followed Hyperlink" xfId="1393" builtinId="9" hidden="1"/>
    <cellStyle name="Followed Hyperlink" xfId="1395" builtinId="9" hidden="1"/>
    <cellStyle name="Followed Hyperlink" xfId="1397" builtinId="9" hidden="1"/>
    <cellStyle name="Followed Hyperlink" xfId="1399" builtinId="9" hidden="1"/>
    <cellStyle name="Followed Hyperlink" xfId="1401" builtinId="9" hidden="1"/>
    <cellStyle name="Followed Hyperlink" xfId="1403" builtinId="9" hidden="1"/>
    <cellStyle name="Followed Hyperlink" xfId="1405" builtinId="9" hidden="1"/>
    <cellStyle name="Followed Hyperlink" xfId="1407" builtinId="9" hidden="1"/>
    <cellStyle name="Followed Hyperlink" xfId="1409" builtinId="9" hidden="1"/>
    <cellStyle name="Followed Hyperlink" xfId="1411" builtinId="9" hidden="1"/>
    <cellStyle name="Followed Hyperlink" xfId="1413" builtinId="9" hidden="1"/>
    <cellStyle name="Followed Hyperlink" xfId="1415" builtinId="9" hidden="1"/>
    <cellStyle name="Followed Hyperlink" xfId="1417" builtinId="9" hidden="1"/>
    <cellStyle name="Followed Hyperlink" xfId="1419" builtinId="9" hidden="1"/>
    <cellStyle name="Followed Hyperlink" xfId="1421" builtinId="9" hidden="1"/>
    <cellStyle name="Followed Hyperlink" xfId="1423" builtinId="9" hidden="1"/>
    <cellStyle name="Followed Hyperlink" xfId="1425" builtinId="9" hidden="1"/>
    <cellStyle name="Followed Hyperlink" xfId="1427" builtinId="9" hidden="1"/>
    <cellStyle name="Followed Hyperlink" xfId="1429" builtinId="9" hidden="1"/>
    <cellStyle name="Followed Hyperlink" xfId="1431" builtinId="9" hidden="1"/>
    <cellStyle name="Followed Hyperlink" xfId="1433" builtinId="9" hidden="1"/>
    <cellStyle name="Followed Hyperlink" xfId="1435" builtinId="9" hidden="1"/>
    <cellStyle name="Followed Hyperlink" xfId="1437" builtinId="9" hidden="1"/>
    <cellStyle name="Followed Hyperlink" xfId="1439" builtinId="9" hidden="1"/>
    <cellStyle name="Followed Hyperlink" xfId="1441" builtinId="9" hidden="1"/>
    <cellStyle name="Followed Hyperlink" xfId="1443" builtinId="9" hidden="1"/>
    <cellStyle name="Followed Hyperlink" xfId="1445" builtinId="9" hidden="1"/>
    <cellStyle name="Followed Hyperlink" xfId="1447" builtinId="9" hidden="1"/>
    <cellStyle name="Followed Hyperlink" xfId="1449" builtinId="9" hidden="1"/>
    <cellStyle name="Followed Hyperlink" xfId="1451" builtinId="9" hidden="1"/>
    <cellStyle name="Followed Hyperlink" xfId="1453" builtinId="9" hidden="1"/>
    <cellStyle name="Followed Hyperlink" xfId="1455" builtinId="9" hidden="1"/>
    <cellStyle name="Followed Hyperlink" xfId="1457" builtinId="9" hidden="1"/>
    <cellStyle name="Followed Hyperlink" xfId="1459" builtinId="9" hidden="1"/>
    <cellStyle name="Followed Hyperlink" xfId="1461" builtinId="9" hidden="1"/>
    <cellStyle name="Followed Hyperlink" xfId="1463" builtinId="9" hidden="1"/>
    <cellStyle name="Followed Hyperlink" xfId="1465" builtinId="9" hidden="1"/>
    <cellStyle name="Followed Hyperlink" xfId="1467" builtinId="9" hidden="1"/>
    <cellStyle name="Followed Hyperlink" xfId="1469" builtinId="9" hidden="1"/>
    <cellStyle name="Followed Hyperlink" xfId="1471" builtinId="9" hidden="1"/>
    <cellStyle name="Followed Hyperlink" xfId="1473" builtinId="9" hidden="1"/>
    <cellStyle name="Followed Hyperlink" xfId="1475" builtinId="9" hidden="1"/>
    <cellStyle name="Followed Hyperlink" xfId="1477" builtinId="9" hidden="1"/>
    <cellStyle name="Followed Hyperlink" xfId="1479" builtinId="9" hidden="1"/>
    <cellStyle name="Followed Hyperlink" xfId="1481" builtinId="9" hidden="1"/>
    <cellStyle name="Followed Hyperlink" xfId="1483" builtinId="9" hidden="1"/>
    <cellStyle name="Followed Hyperlink" xfId="1485" builtinId="9" hidden="1"/>
    <cellStyle name="Followed Hyperlink" xfId="1487" builtinId="9" hidden="1"/>
    <cellStyle name="Followed Hyperlink" xfId="1489" builtinId="9" hidden="1"/>
    <cellStyle name="Followed Hyperlink" xfId="1491" builtinId="9" hidden="1"/>
    <cellStyle name="Followed Hyperlink" xfId="1493" builtinId="9" hidden="1"/>
    <cellStyle name="Followed Hyperlink" xfId="1495" builtinId="9" hidden="1"/>
    <cellStyle name="Followed Hyperlink" xfId="1497" builtinId="9" hidden="1"/>
    <cellStyle name="Followed Hyperlink" xfId="1499" builtinId="9" hidden="1"/>
    <cellStyle name="Followed Hyperlink" xfId="1501" builtinId="9" hidden="1"/>
    <cellStyle name="Followed Hyperlink" xfId="1503" builtinId="9" hidden="1"/>
    <cellStyle name="Followed Hyperlink" xfId="1505" builtinId="9" hidden="1"/>
    <cellStyle name="Followed Hyperlink" xfId="1507" builtinId="9" hidden="1"/>
    <cellStyle name="Followed Hyperlink" xfId="1509" builtinId="9" hidden="1"/>
    <cellStyle name="Followed Hyperlink" xfId="1511" builtinId="9" hidden="1"/>
    <cellStyle name="Followed Hyperlink" xfId="1513" builtinId="9" hidden="1"/>
    <cellStyle name="Followed Hyperlink" xfId="1515" builtinId="9" hidden="1"/>
    <cellStyle name="Followed Hyperlink" xfId="1517" builtinId="9" hidden="1"/>
    <cellStyle name="Followed Hyperlink" xfId="1519" builtinId="9" hidden="1"/>
    <cellStyle name="Followed Hyperlink" xfId="1521" builtinId="9" hidden="1"/>
    <cellStyle name="Followed Hyperlink" xfId="1523" builtinId="9" hidden="1"/>
    <cellStyle name="Followed Hyperlink" xfId="1525" builtinId="9" hidden="1"/>
    <cellStyle name="Followed Hyperlink" xfId="1527" builtinId="9" hidden="1"/>
    <cellStyle name="Followed Hyperlink" xfId="1529" builtinId="9" hidden="1"/>
    <cellStyle name="Followed Hyperlink" xfId="1531" builtinId="9" hidden="1"/>
    <cellStyle name="Followed Hyperlink" xfId="1533" builtinId="9" hidden="1"/>
    <cellStyle name="Followed Hyperlink" xfId="1535" builtinId="9" hidden="1"/>
    <cellStyle name="Followed Hyperlink" xfId="1537" builtinId="9" hidden="1"/>
    <cellStyle name="Followed Hyperlink" xfId="1539" builtinId="9" hidden="1"/>
    <cellStyle name="Followed Hyperlink" xfId="1541" builtinId="9" hidden="1"/>
    <cellStyle name="Followed Hyperlink" xfId="1543" builtinId="9" hidden="1"/>
    <cellStyle name="Followed Hyperlink" xfId="1545" builtinId="9" hidden="1"/>
    <cellStyle name="Followed Hyperlink" xfId="1547" builtinId="9" hidden="1"/>
    <cellStyle name="Followed Hyperlink" xfId="1549" builtinId="9" hidden="1"/>
    <cellStyle name="Followed Hyperlink" xfId="1551" builtinId="9" hidden="1"/>
    <cellStyle name="Followed Hyperlink" xfId="1553" builtinId="9" hidden="1"/>
    <cellStyle name="Followed Hyperlink" xfId="1555" builtinId="9" hidden="1"/>
    <cellStyle name="Followed Hyperlink" xfId="1557" builtinId="9" hidden="1"/>
    <cellStyle name="Followed Hyperlink" xfId="1559" builtinId="9" hidden="1"/>
    <cellStyle name="Followed Hyperlink" xfId="1561" builtinId="9" hidden="1"/>
    <cellStyle name="Followed Hyperlink" xfId="1563" builtinId="9" hidden="1"/>
    <cellStyle name="Followed Hyperlink" xfId="1565" builtinId="9" hidden="1"/>
    <cellStyle name="Followed Hyperlink" xfId="1567" builtinId="9" hidden="1"/>
    <cellStyle name="Followed Hyperlink" xfId="1569" builtinId="9" hidden="1"/>
    <cellStyle name="Followed Hyperlink" xfId="1571" builtinId="9" hidden="1"/>
    <cellStyle name="Followed Hyperlink" xfId="1573" builtinId="9" hidden="1"/>
    <cellStyle name="Followed Hyperlink" xfId="1575" builtinId="9" hidden="1"/>
    <cellStyle name="Followed Hyperlink" xfId="1577" builtinId="9" hidden="1"/>
    <cellStyle name="Followed Hyperlink" xfId="1579" builtinId="9" hidden="1"/>
    <cellStyle name="Followed Hyperlink" xfId="1581" builtinId="9" hidden="1"/>
    <cellStyle name="Followed Hyperlink" xfId="1583" builtinId="9" hidden="1"/>
    <cellStyle name="Followed Hyperlink" xfId="1585" builtinId="9" hidden="1"/>
    <cellStyle name="Followed Hyperlink" xfId="1587" builtinId="9" hidden="1"/>
    <cellStyle name="Followed Hyperlink" xfId="1589" builtinId="9" hidden="1"/>
    <cellStyle name="Followed Hyperlink" xfId="1591" builtinId="9" hidden="1"/>
    <cellStyle name="Followed Hyperlink" xfId="1593" builtinId="9" hidden="1"/>
    <cellStyle name="Followed Hyperlink" xfId="1595" builtinId="9" hidden="1"/>
    <cellStyle name="Followed Hyperlink" xfId="1597" builtinId="9" hidden="1"/>
    <cellStyle name="Followed Hyperlink" xfId="1599" builtinId="9" hidden="1"/>
    <cellStyle name="Followed Hyperlink" xfId="1601" builtinId="9" hidden="1"/>
    <cellStyle name="Followed Hyperlink" xfId="1603" builtinId="9" hidden="1"/>
    <cellStyle name="Followed Hyperlink" xfId="1605" builtinId="9" hidden="1"/>
    <cellStyle name="Followed Hyperlink" xfId="1607" builtinId="9" hidden="1"/>
    <cellStyle name="Followed Hyperlink" xfId="1609" builtinId="9" hidden="1"/>
    <cellStyle name="Followed Hyperlink" xfId="1611" builtinId="9" hidden="1"/>
    <cellStyle name="Followed Hyperlink" xfId="1613" builtinId="9" hidden="1"/>
    <cellStyle name="Followed Hyperlink" xfId="1615" builtinId="9" hidden="1"/>
    <cellStyle name="Followed Hyperlink" xfId="1617" builtinId="9" hidden="1"/>
    <cellStyle name="Followed Hyperlink" xfId="1619" builtinId="9" hidden="1"/>
    <cellStyle name="Followed Hyperlink" xfId="1621" builtinId="9" hidden="1"/>
    <cellStyle name="Followed Hyperlink" xfId="1623" builtinId="9" hidden="1"/>
    <cellStyle name="Followed Hyperlink" xfId="1625" builtinId="9" hidden="1"/>
    <cellStyle name="Followed Hyperlink" xfId="1627" builtinId="9" hidden="1"/>
    <cellStyle name="Followed Hyperlink" xfId="1629" builtinId="9" hidden="1"/>
    <cellStyle name="Followed Hyperlink" xfId="1631" builtinId="9" hidden="1"/>
    <cellStyle name="Followed Hyperlink" xfId="1633" builtinId="9" hidden="1"/>
    <cellStyle name="Followed Hyperlink" xfId="1635" builtinId="9" hidden="1"/>
    <cellStyle name="Followed Hyperlink" xfId="1637" builtinId="9" hidden="1"/>
    <cellStyle name="Followed Hyperlink" xfId="1639"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9" builtinId="9" hidden="1"/>
    <cellStyle name="Followed Hyperlink" xfId="1701" builtinId="9" hidden="1"/>
    <cellStyle name="Followed Hyperlink" xfId="1703" builtinId="9" hidden="1"/>
    <cellStyle name="Followed Hyperlink" xfId="1705" builtinId="9" hidden="1"/>
    <cellStyle name="Followed Hyperlink" xfId="1707" builtinId="9" hidden="1"/>
    <cellStyle name="Followed Hyperlink" xfId="1709" builtinId="9" hidden="1"/>
    <cellStyle name="Followed Hyperlink" xfId="1711" builtinId="9" hidden="1"/>
    <cellStyle name="Followed Hyperlink" xfId="1713" builtinId="9" hidden="1"/>
    <cellStyle name="Followed Hyperlink" xfId="1715" builtinId="9" hidden="1"/>
    <cellStyle name="Followed Hyperlink" xfId="1717" builtinId="9" hidden="1"/>
    <cellStyle name="Followed Hyperlink" xfId="1719" builtinId="9" hidden="1"/>
    <cellStyle name="Followed Hyperlink" xfId="1721" builtinId="9" hidden="1"/>
    <cellStyle name="Followed Hyperlink" xfId="1723" builtinId="9" hidden="1"/>
    <cellStyle name="Followed Hyperlink" xfId="1725" builtinId="9" hidden="1"/>
    <cellStyle name="Followed Hyperlink" xfId="1727" builtinId="9" hidden="1"/>
    <cellStyle name="Followed Hyperlink" xfId="1729" builtinId="9" hidden="1"/>
    <cellStyle name="Followed Hyperlink" xfId="1731" builtinId="9" hidden="1"/>
    <cellStyle name="Followed Hyperlink" xfId="1733" builtinId="9" hidden="1"/>
    <cellStyle name="Followed Hyperlink" xfId="1735" builtinId="9" hidden="1"/>
    <cellStyle name="Followed Hyperlink" xfId="1737" builtinId="9" hidden="1"/>
    <cellStyle name="Followed Hyperlink" xfId="1739" builtinId="9" hidden="1"/>
    <cellStyle name="Followed Hyperlink" xfId="1741" builtinId="9" hidden="1"/>
    <cellStyle name="Followed Hyperlink" xfId="1743" builtinId="9" hidden="1"/>
    <cellStyle name="Followed Hyperlink" xfId="1745" builtinId="9" hidden="1"/>
    <cellStyle name="Followed Hyperlink" xfId="1747" builtinId="9" hidden="1"/>
    <cellStyle name="Followed Hyperlink" xfId="1749" builtinId="9" hidden="1"/>
    <cellStyle name="Followed Hyperlink" xfId="1751" builtinId="9" hidden="1"/>
    <cellStyle name="Followed Hyperlink" xfId="1753" builtinId="9" hidden="1"/>
    <cellStyle name="Followed Hyperlink" xfId="1755" builtinId="9" hidden="1"/>
    <cellStyle name="Followed Hyperlink" xfId="1757" builtinId="9" hidden="1"/>
    <cellStyle name="Followed Hyperlink" xfId="1759" builtinId="9" hidden="1"/>
    <cellStyle name="Followed Hyperlink" xfId="1761" builtinId="9" hidden="1"/>
    <cellStyle name="Followed Hyperlink" xfId="1763" builtinId="9" hidden="1"/>
    <cellStyle name="Followed Hyperlink" xfId="1765" builtinId="9" hidden="1"/>
    <cellStyle name="Followed Hyperlink" xfId="1767" builtinId="9" hidden="1"/>
    <cellStyle name="Followed Hyperlink" xfId="1769" builtinId="9" hidden="1"/>
    <cellStyle name="Followed Hyperlink" xfId="1771" builtinId="9" hidden="1"/>
    <cellStyle name="Followed Hyperlink" xfId="1773" builtinId="9" hidden="1"/>
    <cellStyle name="Followed Hyperlink" xfId="1775" builtinId="9" hidden="1"/>
    <cellStyle name="Followed Hyperlink" xfId="1777" builtinId="9" hidden="1"/>
    <cellStyle name="Followed Hyperlink" xfId="1779" builtinId="9" hidden="1"/>
    <cellStyle name="Followed Hyperlink" xfId="1781" builtinId="9" hidden="1"/>
    <cellStyle name="Followed Hyperlink" xfId="1783" builtinId="9" hidden="1"/>
    <cellStyle name="Followed Hyperlink" xfId="1785" builtinId="9" hidden="1"/>
    <cellStyle name="Followed Hyperlink" xfId="1787" builtinId="9" hidden="1"/>
    <cellStyle name="Followed Hyperlink" xfId="1789" builtinId="9" hidden="1"/>
    <cellStyle name="Followed Hyperlink" xfId="1791" builtinId="9" hidden="1"/>
    <cellStyle name="Followed Hyperlink" xfId="1793" builtinId="9" hidden="1"/>
    <cellStyle name="Followed Hyperlink" xfId="1795" builtinId="9" hidden="1"/>
    <cellStyle name="Followed Hyperlink" xfId="1797" builtinId="9" hidden="1"/>
    <cellStyle name="Followed Hyperlink" xfId="1799" builtinId="9" hidden="1"/>
    <cellStyle name="Followed Hyperlink" xfId="1801" builtinId="9" hidden="1"/>
    <cellStyle name="Followed Hyperlink" xfId="1803" builtinId="9" hidden="1"/>
    <cellStyle name="Followed Hyperlink" xfId="1805" builtinId="9" hidden="1"/>
    <cellStyle name="Followed Hyperlink" xfId="1807" builtinId="9" hidden="1"/>
    <cellStyle name="Followed Hyperlink" xfId="1809" builtinId="9" hidden="1"/>
    <cellStyle name="Followed Hyperlink" xfId="1811" builtinId="9" hidden="1"/>
    <cellStyle name="Followed Hyperlink" xfId="1813" builtinId="9" hidden="1"/>
    <cellStyle name="Followed Hyperlink" xfId="1815" builtinId="9" hidden="1"/>
    <cellStyle name="Followed Hyperlink" xfId="1817" builtinId="9" hidden="1"/>
    <cellStyle name="Followed Hyperlink" xfId="1819" builtinId="9" hidden="1"/>
    <cellStyle name="Followed Hyperlink" xfId="1821" builtinId="9" hidden="1"/>
    <cellStyle name="Followed Hyperlink" xfId="1823" builtinId="9" hidden="1"/>
    <cellStyle name="Followed Hyperlink" xfId="1825" builtinId="9" hidden="1"/>
    <cellStyle name="Followed Hyperlink" xfId="1827" builtinId="9" hidden="1"/>
    <cellStyle name="Followed Hyperlink" xfId="1829" builtinId="9" hidden="1"/>
    <cellStyle name="Followed Hyperlink" xfId="1831" builtinId="9" hidden="1"/>
    <cellStyle name="Followed Hyperlink" xfId="1833" builtinId="9" hidden="1"/>
    <cellStyle name="Followed Hyperlink" xfId="1835" builtinId="9" hidden="1"/>
    <cellStyle name="Followed Hyperlink" xfId="1837" builtinId="9" hidden="1"/>
    <cellStyle name="Followed Hyperlink" xfId="1839" builtinId="9" hidden="1"/>
    <cellStyle name="Followed Hyperlink" xfId="1841" builtinId="9" hidden="1"/>
    <cellStyle name="Followed Hyperlink" xfId="1843" builtinId="9" hidden="1"/>
    <cellStyle name="Followed Hyperlink" xfId="1845" builtinId="9" hidden="1"/>
    <cellStyle name="Followed Hyperlink" xfId="1847" builtinId="9" hidden="1"/>
    <cellStyle name="Followed Hyperlink" xfId="1849" builtinId="9" hidden="1"/>
    <cellStyle name="Followed Hyperlink" xfId="1851" builtinId="9" hidden="1"/>
    <cellStyle name="Followed Hyperlink" xfId="1853" builtinId="9" hidden="1"/>
    <cellStyle name="Followed Hyperlink" xfId="1855" builtinId="9" hidden="1"/>
    <cellStyle name="Followed Hyperlink" xfId="1857" builtinId="9" hidden="1"/>
    <cellStyle name="Followed Hyperlink" xfId="1859" builtinId="9" hidden="1"/>
    <cellStyle name="Followed Hyperlink" xfId="1861" builtinId="9" hidden="1"/>
    <cellStyle name="Followed Hyperlink" xfId="1863" builtinId="9" hidden="1"/>
    <cellStyle name="Followed Hyperlink" xfId="1865" builtinId="9" hidden="1"/>
    <cellStyle name="Followed Hyperlink" xfId="1867" builtinId="9" hidden="1"/>
    <cellStyle name="Followed Hyperlink" xfId="1869" builtinId="9" hidden="1"/>
    <cellStyle name="Followed Hyperlink" xfId="1871" builtinId="9" hidden="1"/>
    <cellStyle name="Followed Hyperlink" xfId="1873" builtinId="9" hidden="1"/>
    <cellStyle name="Followed Hyperlink" xfId="1875" builtinId="9" hidden="1"/>
    <cellStyle name="Followed Hyperlink" xfId="1877" builtinId="9" hidden="1"/>
    <cellStyle name="Followed Hyperlink" xfId="1879" builtinId="9" hidden="1"/>
    <cellStyle name="Followed Hyperlink" xfId="1881" builtinId="9" hidden="1"/>
    <cellStyle name="Followed Hyperlink" xfId="1883" builtinId="9" hidden="1"/>
    <cellStyle name="Followed Hyperlink" xfId="1885" builtinId="9" hidden="1"/>
    <cellStyle name="Followed Hyperlink" xfId="1887" builtinId="9" hidden="1"/>
    <cellStyle name="Followed Hyperlink" xfId="1889" builtinId="9" hidden="1"/>
    <cellStyle name="Followed Hyperlink" xfId="1891" builtinId="9" hidden="1"/>
    <cellStyle name="Followed Hyperlink" xfId="1893" builtinId="9" hidden="1"/>
    <cellStyle name="Followed Hyperlink" xfId="1895" builtinId="9" hidden="1"/>
    <cellStyle name="Followed Hyperlink" xfId="1897" builtinId="9" hidden="1"/>
    <cellStyle name="Followed Hyperlink" xfId="1899" builtinId="9" hidden="1"/>
    <cellStyle name="Followed Hyperlink" xfId="1901" builtinId="9" hidden="1"/>
    <cellStyle name="Followed Hyperlink" xfId="1903" builtinId="9" hidden="1"/>
    <cellStyle name="Followed Hyperlink" xfId="1905" builtinId="9" hidden="1"/>
    <cellStyle name="Followed Hyperlink" xfId="1907" builtinId="9" hidden="1"/>
    <cellStyle name="Followed Hyperlink" xfId="1909" builtinId="9" hidden="1"/>
    <cellStyle name="Followed Hyperlink" xfId="1911" builtinId="9" hidden="1"/>
    <cellStyle name="Followed Hyperlink" xfId="1913" builtinId="9" hidden="1"/>
    <cellStyle name="Followed Hyperlink" xfId="1915" builtinId="9" hidden="1"/>
    <cellStyle name="Followed Hyperlink" xfId="1917" builtinId="9" hidden="1"/>
    <cellStyle name="Followed Hyperlink" xfId="1919" builtinId="9" hidden="1"/>
    <cellStyle name="Followed Hyperlink" xfId="1921" builtinId="9" hidden="1"/>
    <cellStyle name="Followed Hyperlink" xfId="1923" builtinId="9" hidden="1"/>
    <cellStyle name="Followed Hyperlink" xfId="1925" builtinId="9" hidden="1"/>
    <cellStyle name="Followed Hyperlink" xfId="1927" builtinId="9" hidden="1"/>
    <cellStyle name="Followed Hyperlink" xfId="1929" builtinId="9" hidden="1"/>
    <cellStyle name="Followed Hyperlink" xfId="1931" builtinId="9" hidden="1"/>
    <cellStyle name="Followed Hyperlink" xfId="1933" builtinId="9" hidden="1"/>
    <cellStyle name="Followed Hyperlink" xfId="1935" builtinId="9" hidden="1"/>
    <cellStyle name="Followed Hyperlink" xfId="1937" builtinId="9" hidden="1"/>
    <cellStyle name="Followed Hyperlink" xfId="1939" builtinId="9" hidden="1"/>
    <cellStyle name="Followed Hyperlink" xfId="1941" builtinId="9" hidden="1"/>
    <cellStyle name="Followed Hyperlink" xfId="1943" builtinId="9" hidden="1"/>
    <cellStyle name="Followed Hyperlink" xfId="1945" builtinId="9" hidden="1"/>
    <cellStyle name="Followed Hyperlink" xfId="1947" builtinId="9" hidden="1"/>
    <cellStyle name="Followed Hyperlink" xfId="1949" builtinId="9" hidden="1"/>
    <cellStyle name="Followed Hyperlink" xfId="1951" builtinId="9" hidden="1"/>
    <cellStyle name="Followed Hyperlink" xfId="1953" builtinId="9" hidden="1"/>
    <cellStyle name="Followed Hyperlink" xfId="1955" builtinId="9" hidden="1"/>
    <cellStyle name="Followed Hyperlink" xfId="1957" builtinId="9" hidden="1"/>
    <cellStyle name="Followed Hyperlink" xfId="1959" builtinId="9" hidden="1"/>
    <cellStyle name="Followed Hyperlink" xfId="1961" builtinId="9" hidden="1"/>
    <cellStyle name="Followed Hyperlink" xfId="1963" builtinId="9" hidden="1"/>
    <cellStyle name="Followed Hyperlink" xfId="1965" builtinId="9" hidden="1"/>
    <cellStyle name="Followed Hyperlink" xfId="1967" builtinId="9" hidden="1"/>
    <cellStyle name="Followed Hyperlink" xfId="1969" builtinId="9" hidden="1"/>
    <cellStyle name="Followed Hyperlink" xfId="1971" builtinId="9" hidden="1"/>
    <cellStyle name="Followed Hyperlink" xfId="1973" builtinId="9" hidden="1"/>
    <cellStyle name="Followed Hyperlink" xfId="1975" builtinId="9" hidden="1"/>
    <cellStyle name="Followed Hyperlink" xfId="1977" builtinId="9" hidden="1"/>
    <cellStyle name="Followed Hyperlink" xfId="1979" builtinId="9" hidden="1"/>
    <cellStyle name="Followed Hyperlink" xfId="1981" builtinId="9" hidden="1"/>
    <cellStyle name="Followed Hyperlink" xfId="1983" builtinId="9" hidden="1"/>
    <cellStyle name="Followed Hyperlink" xfId="1985" builtinId="9" hidden="1"/>
    <cellStyle name="Followed Hyperlink" xfId="1987" builtinId="9" hidden="1"/>
    <cellStyle name="Followed Hyperlink" xfId="1989" builtinId="9" hidden="1"/>
    <cellStyle name="Followed Hyperlink" xfId="1991" builtinId="9" hidden="1"/>
    <cellStyle name="Followed Hyperlink" xfId="1993" builtinId="9" hidden="1"/>
    <cellStyle name="Followed Hyperlink" xfId="1995" builtinId="9" hidden="1"/>
    <cellStyle name="Followed Hyperlink" xfId="1997" builtinId="9" hidden="1"/>
    <cellStyle name="Followed Hyperlink" xfId="1999" builtinId="9" hidden="1"/>
    <cellStyle name="Followed Hyperlink" xfId="2001" builtinId="9" hidden="1"/>
    <cellStyle name="Followed Hyperlink" xfId="2003" builtinId="9" hidden="1"/>
    <cellStyle name="Followed Hyperlink" xfId="2005" builtinId="9" hidden="1"/>
    <cellStyle name="Followed Hyperlink" xfId="2007" builtinId="9" hidden="1"/>
    <cellStyle name="Followed Hyperlink" xfId="2009" builtinId="9" hidden="1"/>
    <cellStyle name="Followed Hyperlink" xfId="2011" builtinId="9" hidden="1"/>
    <cellStyle name="Followed Hyperlink" xfId="2013" builtinId="9" hidden="1"/>
    <cellStyle name="Followed Hyperlink" xfId="2015" builtinId="9" hidden="1"/>
    <cellStyle name="Followed Hyperlink" xfId="2017" builtinId="9" hidden="1"/>
    <cellStyle name="Followed Hyperlink" xfId="2019" builtinId="9" hidden="1"/>
    <cellStyle name="Followed Hyperlink" xfId="2021" builtinId="9" hidden="1"/>
    <cellStyle name="Followed Hyperlink" xfId="2023" builtinId="9" hidden="1"/>
    <cellStyle name="Followed Hyperlink" xfId="2025" builtinId="9" hidden="1"/>
    <cellStyle name="Followed Hyperlink" xfId="2027" builtinId="9" hidden="1"/>
    <cellStyle name="Followed Hyperlink" xfId="2029" builtinId="9" hidden="1"/>
    <cellStyle name="Followed Hyperlink" xfId="2031" builtinId="9" hidden="1"/>
    <cellStyle name="Followed Hyperlink" xfId="2033" builtinId="9" hidden="1"/>
    <cellStyle name="Followed Hyperlink" xfId="2035" builtinId="9" hidden="1"/>
    <cellStyle name="Followed Hyperlink" xfId="2037" builtinId="9" hidden="1"/>
    <cellStyle name="Followed Hyperlink" xfId="2039" builtinId="9" hidden="1"/>
    <cellStyle name="Followed Hyperlink" xfId="2041" builtinId="9" hidden="1"/>
    <cellStyle name="Followed Hyperlink" xfId="2043" builtinId="9" hidden="1"/>
    <cellStyle name="Followed Hyperlink" xfId="2045" builtinId="9" hidden="1"/>
    <cellStyle name="Followed Hyperlink" xfId="2047" builtinId="9" hidden="1"/>
    <cellStyle name="Followed Hyperlink" xfId="2049" builtinId="9" hidden="1"/>
    <cellStyle name="Followed Hyperlink" xfId="2051" builtinId="9" hidden="1"/>
    <cellStyle name="Followed Hyperlink" xfId="2053" builtinId="9" hidden="1"/>
    <cellStyle name="Followed Hyperlink" xfId="2055" builtinId="9" hidden="1"/>
    <cellStyle name="Followed Hyperlink" xfId="2057" builtinId="9" hidden="1"/>
    <cellStyle name="Followed Hyperlink" xfId="2059" builtinId="9" hidden="1"/>
    <cellStyle name="Followed Hyperlink" xfId="2061" builtinId="9" hidden="1"/>
    <cellStyle name="Followed Hyperlink" xfId="2063" builtinId="9" hidden="1"/>
    <cellStyle name="Followed Hyperlink" xfId="2065" builtinId="9" hidden="1"/>
    <cellStyle name="Followed Hyperlink" xfId="2067" builtinId="9" hidden="1"/>
    <cellStyle name="Followed Hyperlink" xfId="2069" builtinId="9" hidden="1"/>
    <cellStyle name="Followed Hyperlink" xfId="2071" builtinId="9" hidden="1"/>
    <cellStyle name="Followed Hyperlink" xfId="2073" builtinId="9" hidden="1"/>
    <cellStyle name="Followed Hyperlink" xfId="2075" builtinId="9" hidden="1"/>
    <cellStyle name="Followed Hyperlink" xfId="2077" builtinId="9" hidden="1"/>
    <cellStyle name="Followed Hyperlink" xfId="2079" builtinId="9" hidden="1"/>
    <cellStyle name="Followed Hyperlink" xfId="2081" builtinId="9" hidden="1"/>
    <cellStyle name="Followed Hyperlink" xfId="2083" builtinId="9" hidden="1"/>
    <cellStyle name="Followed Hyperlink" xfId="2085" builtinId="9" hidden="1"/>
    <cellStyle name="Followed Hyperlink" xfId="2087" builtinId="9" hidden="1"/>
    <cellStyle name="Followed Hyperlink" xfId="2089" builtinId="9" hidden="1"/>
    <cellStyle name="Followed Hyperlink" xfId="2091" builtinId="9" hidden="1"/>
    <cellStyle name="Followed Hyperlink" xfId="2093" builtinId="9" hidden="1"/>
    <cellStyle name="Followed Hyperlink" xfId="2095" builtinId="9" hidden="1"/>
    <cellStyle name="Followed Hyperlink" xfId="2097" builtinId="9" hidden="1"/>
    <cellStyle name="Followed Hyperlink" xfId="2099" builtinId="9" hidden="1"/>
    <cellStyle name="Followed Hyperlink" xfId="2101" builtinId="9" hidden="1"/>
    <cellStyle name="Followed Hyperlink" xfId="2103" builtinId="9" hidden="1"/>
    <cellStyle name="Followed Hyperlink" xfId="2105" builtinId="9" hidden="1"/>
    <cellStyle name="Followed Hyperlink" xfId="2107" builtinId="9" hidden="1"/>
    <cellStyle name="Followed Hyperlink" xfId="2109" builtinId="9" hidden="1"/>
    <cellStyle name="Followed Hyperlink" xfId="2111" builtinId="9" hidden="1"/>
    <cellStyle name="Followed Hyperlink" xfId="2113" builtinId="9" hidden="1"/>
    <cellStyle name="Followed Hyperlink" xfId="2115" builtinId="9" hidden="1"/>
    <cellStyle name="Followed Hyperlink" xfId="2117" builtinId="9" hidden="1"/>
    <cellStyle name="Followed Hyperlink" xfId="2119" builtinId="9" hidden="1"/>
    <cellStyle name="Followed Hyperlink" xfId="2121" builtinId="9" hidden="1"/>
    <cellStyle name="Followed Hyperlink" xfId="2123" builtinId="9" hidden="1"/>
    <cellStyle name="Followed Hyperlink" xfId="2125" builtinId="9" hidden="1"/>
    <cellStyle name="Followed Hyperlink" xfId="2127" builtinId="9" hidden="1"/>
    <cellStyle name="Followed Hyperlink" xfId="2129" builtinId="9" hidden="1"/>
    <cellStyle name="Followed Hyperlink" xfId="2131" builtinId="9" hidden="1"/>
    <cellStyle name="Followed Hyperlink" xfId="2133" builtinId="9" hidden="1"/>
    <cellStyle name="Followed Hyperlink" xfId="2135" builtinId="9" hidden="1"/>
    <cellStyle name="Followed Hyperlink" xfId="2137" builtinId="9" hidden="1"/>
    <cellStyle name="Followed Hyperlink" xfId="2139" builtinId="9" hidden="1"/>
    <cellStyle name="Followed Hyperlink" xfId="2141" builtinId="9" hidden="1"/>
    <cellStyle name="Followed Hyperlink" xfId="2143" builtinId="9" hidden="1"/>
    <cellStyle name="Followed Hyperlink" xfId="2145" builtinId="9" hidden="1"/>
    <cellStyle name="Followed Hyperlink" xfId="2147" builtinId="9" hidden="1"/>
    <cellStyle name="Followed Hyperlink" xfId="2149" builtinId="9" hidden="1"/>
    <cellStyle name="Followed Hyperlink" xfId="2151" builtinId="9" hidden="1"/>
    <cellStyle name="Followed Hyperlink" xfId="2153" builtinId="9" hidden="1"/>
    <cellStyle name="Followed Hyperlink" xfId="2155" builtinId="9" hidden="1"/>
    <cellStyle name="Followed Hyperlink" xfId="2157" builtinId="9" hidden="1"/>
    <cellStyle name="Followed Hyperlink" xfId="2159" builtinId="9" hidden="1"/>
    <cellStyle name="Followed Hyperlink" xfId="2161" builtinId="9" hidden="1"/>
    <cellStyle name="Followed Hyperlink" xfId="2163" builtinId="9" hidden="1"/>
    <cellStyle name="Followed Hyperlink" xfId="2165" builtinId="9" hidden="1"/>
    <cellStyle name="Followed Hyperlink" xfId="2167"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Followed Hyperlink" xfId="2183" builtinId="9" hidden="1"/>
    <cellStyle name="Followed Hyperlink" xfId="2185" builtinId="9" hidden="1"/>
    <cellStyle name="Followed Hyperlink" xfId="2187" builtinId="9" hidden="1"/>
    <cellStyle name="Followed Hyperlink" xfId="2189" builtinId="9" hidden="1"/>
    <cellStyle name="Followed Hyperlink" xfId="2191" builtinId="9" hidden="1"/>
    <cellStyle name="Followed Hyperlink" xfId="2193" builtinId="9" hidden="1"/>
    <cellStyle name="Followed Hyperlink" xfId="2195" builtinId="9" hidden="1"/>
    <cellStyle name="Followed Hyperlink" xfId="2197" builtinId="9" hidden="1"/>
    <cellStyle name="Followed Hyperlink" xfId="2199" builtinId="9" hidden="1"/>
    <cellStyle name="Followed Hyperlink" xfId="2201" builtinId="9" hidden="1"/>
    <cellStyle name="Followed Hyperlink" xfId="2203" builtinId="9" hidden="1"/>
    <cellStyle name="Followed Hyperlink" xfId="2205" builtinId="9" hidden="1"/>
    <cellStyle name="Followed Hyperlink" xfId="2207"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8" builtinId="8" hidden="1"/>
    <cellStyle name="Hyperlink" xfId="930" builtinId="8" hidden="1"/>
    <cellStyle name="Hyperlink" xfId="932" builtinId="8" hidden="1"/>
    <cellStyle name="Hyperlink" xfId="938"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Hyperlink" xfId="1282" builtinId="8" hidden="1"/>
    <cellStyle name="Hyperlink" xfId="1284" builtinId="8" hidden="1"/>
    <cellStyle name="Hyperlink" xfId="1286" builtinId="8" hidden="1"/>
    <cellStyle name="Hyperlink" xfId="1288" builtinId="8" hidden="1"/>
    <cellStyle name="Hyperlink" xfId="1290" builtinId="8" hidden="1"/>
    <cellStyle name="Hyperlink" xfId="1292" builtinId="8" hidden="1"/>
    <cellStyle name="Hyperlink" xfId="1294" builtinId="8" hidden="1"/>
    <cellStyle name="Hyperlink" xfId="1296" builtinId="8" hidden="1"/>
    <cellStyle name="Hyperlink" xfId="1298" builtinId="8" hidden="1"/>
    <cellStyle name="Hyperlink" xfId="1300" builtinId="8" hidden="1"/>
    <cellStyle name="Hyperlink" xfId="1302" builtinId="8" hidden="1"/>
    <cellStyle name="Hyperlink" xfId="1304" builtinId="8" hidden="1"/>
    <cellStyle name="Hyperlink" xfId="1306" builtinId="8" hidden="1"/>
    <cellStyle name="Hyperlink" xfId="1308" builtinId="8" hidden="1"/>
    <cellStyle name="Hyperlink" xfId="1310" builtinId="8" hidden="1"/>
    <cellStyle name="Hyperlink" xfId="1312" builtinId="8" hidden="1"/>
    <cellStyle name="Hyperlink" xfId="1314" builtinId="8" hidden="1"/>
    <cellStyle name="Hyperlink" xfId="1316" builtinId="8" hidden="1"/>
    <cellStyle name="Hyperlink" xfId="1318" builtinId="8" hidden="1"/>
    <cellStyle name="Hyperlink" xfId="1320" builtinId="8" hidden="1"/>
    <cellStyle name="Hyperlink" xfId="1322" builtinId="8" hidden="1"/>
    <cellStyle name="Hyperlink" xfId="1324" builtinId="8" hidden="1"/>
    <cellStyle name="Hyperlink" xfId="1326" builtinId="8" hidden="1"/>
    <cellStyle name="Hyperlink" xfId="1328" builtinId="8" hidden="1"/>
    <cellStyle name="Hyperlink" xfId="1330" builtinId="8" hidden="1"/>
    <cellStyle name="Hyperlink" xfId="1332" builtinId="8" hidden="1"/>
    <cellStyle name="Hyperlink" xfId="1334" builtinId="8" hidden="1"/>
    <cellStyle name="Hyperlink" xfId="1336" builtinId="8" hidden="1"/>
    <cellStyle name="Hyperlink" xfId="1338" builtinId="8" hidden="1"/>
    <cellStyle name="Hyperlink" xfId="1340" builtinId="8" hidden="1"/>
    <cellStyle name="Hyperlink" xfId="1342" builtinId="8" hidden="1"/>
    <cellStyle name="Hyperlink" xfId="1344" builtinId="8" hidden="1"/>
    <cellStyle name="Hyperlink" xfId="1346" builtinId="8" hidden="1"/>
    <cellStyle name="Hyperlink" xfId="1348" builtinId="8" hidden="1"/>
    <cellStyle name="Hyperlink" xfId="1350" builtinId="8" hidden="1"/>
    <cellStyle name="Hyperlink" xfId="1352" builtinId="8" hidden="1"/>
    <cellStyle name="Hyperlink" xfId="1354" builtinId="8" hidden="1"/>
    <cellStyle name="Hyperlink" xfId="1356" builtinId="8" hidden="1"/>
    <cellStyle name="Hyperlink" xfId="1358" builtinId="8" hidden="1"/>
    <cellStyle name="Hyperlink" xfId="1360" builtinId="8" hidden="1"/>
    <cellStyle name="Hyperlink" xfId="1362" builtinId="8" hidden="1"/>
    <cellStyle name="Hyperlink" xfId="1364" builtinId="8" hidden="1"/>
    <cellStyle name="Hyperlink" xfId="1366" builtinId="8" hidden="1"/>
    <cellStyle name="Hyperlink" xfId="1368" builtinId="8" hidden="1"/>
    <cellStyle name="Hyperlink" xfId="1370" builtinId="8" hidden="1"/>
    <cellStyle name="Hyperlink" xfId="1372" builtinId="8" hidden="1"/>
    <cellStyle name="Hyperlink" xfId="1374" builtinId="8" hidden="1"/>
    <cellStyle name="Hyperlink" xfId="1376" builtinId="8" hidden="1"/>
    <cellStyle name="Hyperlink" xfId="1378" builtinId="8" hidden="1"/>
    <cellStyle name="Hyperlink" xfId="1380" builtinId="8" hidden="1"/>
    <cellStyle name="Hyperlink" xfId="1382" builtinId="8" hidden="1"/>
    <cellStyle name="Hyperlink" xfId="1384" builtinId="8" hidden="1"/>
    <cellStyle name="Hyperlink" xfId="1386" builtinId="8" hidden="1"/>
    <cellStyle name="Hyperlink" xfId="1388" builtinId="8" hidden="1"/>
    <cellStyle name="Hyperlink" xfId="1390" builtinId="8" hidden="1"/>
    <cellStyle name="Hyperlink" xfId="1392" builtinId="8" hidden="1"/>
    <cellStyle name="Hyperlink" xfId="1394" builtinId="8" hidden="1"/>
    <cellStyle name="Hyperlink" xfId="1396" builtinId="8" hidden="1"/>
    <cellStyle name="Hyperlink" xfId="1398" builtinId="8" hidden="1"/>
    <cellStyle name="Hyperlink" xfId="1400" builtinId="8" hidden="1"/>
    <cellStyle name="Hyperlink" xfId="1402" builtinId="8" hidden="1"/>
    <cellStyle name="Hyperlink" xfId="1404" builtinId="8" hidden="1"/>
    <cellStyle name="Hyperlink" xfId="1406" builtinId="8" hidden="1"/>
    <cellStyle name="Hyperlink" xfId="1408" builtinId="8" hidden="1"/>
    <cellStyle name="Hyperlink" xfId="1410" builtinId="8" hidden="1"/>
    <cellStyle name="Hyperlink" xfId="1412" builtinId="8" hidden="1"/>
    <cellStyle name="Hyperlink" xfId="1414" builtinId="8" hidden="1"/>
    <cellStyle name="Hyperlink" xfId="1416" builtinId="8" hidden="1"/>
    <cellStyle name="Hyperlink" xfId="1418" builtinId="8" hidden="1"/>
    <cellStyle name="Hyperlink" xfId="1420" builtinId="8" hidden="1"/>
    <cellStyle name="Hyperlink" xfId="1422" builtinId="8" hidden="1"/>
    <cellStyle name="Hyperlink" xfId="1424" builtinId="8" hidden="1"/>
    <cellStyle name="Hyperlink" xfId="1426" builtinId="8" hidden="1"/>
    <cellStyle name="Hyperlink" xfId="1428" builtinId="8" hidden="1"/>
    <cellStyle name="Hyperlink" xfId="1430" builtinId="8" hidden="1"/>
    <cellStyle name="Hyperlink" xfId="1432" builtinId="8" hidden="1"/>
    <cellStyle name="Hyperlink" xfId="1434" builtinId="8" hidden="1"/>
    <cellStyle name="Hyperlink" xfId="1436" builtinId="8" hidden="1"/>
    <cellStyle name="Hyperlink" xfId="1438" builtinId="8" hidden="1"/>
    <cellStyle name="Hyperlink" xfId="1440" builtinId="8" hidden="1"/>
    <cellStyle name="Hyperlink" xfId="1442" builtinId="8" hidden="1"/>
    <cellStyle name="Hyperlink" xfId="1444" builtinId="8" hidden="1"/>
    <cellStyle name="Hyperlink" xfId="1446" builtinId="8" hidden="1"/>
    <cellStyle name="Hyperlink" xfId="1448" builtinId="8" hidden="1"/>
    <cellStyle name="Hyperlink" xfId="1450" builtinId="8" hidden="1"/>
    <cellStyle name="Hyperlink" xfId="1452" builtinId="8" hidden="1"/>
    <cellStyle name="Hyperlink" xfId="1454" builtinId="8" hidden="1"/>
    <cellStyle name="Hyperlink" xfId="1456" builtinId="8" hidden="1"/>
    <cellStyle name="Hyperlink" xfId="1458" builtinId="8" hidden="1"/>
    <cellStyle name="Hyperlink" xfId="1460" builtinId="8" hidden="1"/>
    <cellStyle name="Hyperlink" xfId="1462" builtinId="8" hidden="1"/>
    <cellStyle name="Hyperlink" xfId="1464" builtinId="8" hidden="1"/>
    <cellStyle name="Hyperlink" xfId="1466" builtinId="8" hidden="1"/>
    <cellStyle name="Hyperlink" xfId="1468" builtinId="8" hidden="1"/>
    <cellStyle name="Hyperlink" xfId="1470" builtinId="8" hidden="1"/>
    <cellStyle name="Hyperlink" xfId="1472" builtinId="8" hidden="1"/>
    <cellStyle name="Hyperlink" xfId="1474" builtinId="8" hidden="1"/>
    <cellStyle name="Hyperlink" xfId="1476" builtinId="8" hidden="1"/>
    <cellStyle name="Hyperlink" xfId="1478" builtinId="8" hidden="1"/>
    <cellStyle name="Hyperlink" xfId="1480" builtinId="8" hidden="1"/>
    <cellStyle name="Hyperlink" xfId="1482" builtinId="8" hidden="1"/>
    <cellStyle name="Hyperlink" xfId="1484" builtinId="8" hidden="1"/>
    <cellStyle name="Hyperlink" xfId="1486" builtinId="8" hidden="1"/>
    <cellStyle name="Hyperlink" xfId="1488" builtinId="8" hidden="1"/>
    <cellStyle name="Hyperlink" xfId="1490" builtinId="8" hidden="1"/>
    <cellStyle name="Hyperlink" xfId="1492" builtinId="8" hidden="1"/>
    <cellStyle name="Hyperlink" xfId="1494" builtinId="8" hidden="1"/>
    <cellStyle name="Hyperlink" xfId="1496" builtinId="8" hidden="1"/>
    <cellStyle name="Hyperlink" xfId="1498" builtinId="8" hidden="1"/>
    <cellStyle name="Hyperlink" xfId="1500" builtinId="8" hidden="1"/>
    <cellStyle name="Hyperlink" xfId="1502" builtinId="8" hidden="1"/>
    <cellStyle name="Hyperlink" xfId="1504" builtinId="8" hidden="1"/>
    <cellStyle name="Hyperlink" xfId="1506" builtinId="8" hidden="1"/>
    <cellStyle name="Hyperlink" xfId="1508" builtinId="8" hidden="1"/>
    <cellStyle name="Hyperlink" xfId="1510" builtinId="8" hidden="1"/>
    <cellStyle name="Hyperlink" xfId="1512" builtinId="8" hidden="1"/>
    <cellStyle name="Hyperlink" xfId="1514" builtinId="8" hidden="1"/>
    <cellStyle name="Hyperlink" xfId="1516" builtinId="8" hidden="1"/>
    <cellStyle name="Hyperlink" xfId="1518" builtinId="8" hidden="1"/>
    <cellStyle name="Hyperlink" xfId="1520" builtinId="8" hidden="1"/>
    <cellStyle name="Hyperlink" xfId="1522" builtinId="8" hidden="1"/>
    <cellStyle name="Hyperlink" xfId="1524" builtinId="8" hidden="1"/>
    <cellStyle name="Hyperlink" xfId="1526" builtinId="8" hidden="1"/>
    <cellStyle name="Hyperlink" xfId="1528" builtinId="8" hidden="1"/>
    <cellStyle name="Hyperlink" xfId="1530" builtinId="8" hidden="1"/>
    <cellStyle name="Hyperlink" xfId="1532" builtinId="8" hidden="1"/>
    <cellStyle name="Hyperlink" xfId="1534" builtinId="8" hidden="1"/>
    <cellStyle name="Hyperlink" xfId="1536" builtinId="8" hidden="1"/>
    <cellStyle name="Hyperlink" xfId="1538" builtinId="8" hidden="1"/>
    <cellStyle name="Hyperlink" xfId="1540" builtinId="8" hidden="1"/>
    <cellStyle name="Hyperlink" xfId="1542" builtinId="8" hidden="1"/>
    <cellStyle name="Hyperlink" xfId="1544" builtinId="8" hidden="1"/>
    <cellStyle name="Hyperlink" xfId="1546" builtinId="8" hidden="1"/>
    <cellStyle name="Hyperlink" xfId="1548" builtinId="8" hidden="1"/>
    <cellStyle name="Hyperlink" xfId="1550" builtinId="8" hidden="1"/>
    <cellStyle name="Hyperlink" xfId="1552" builtinId="8" hidden="1"/>
    <cellStyle name="Hyperlink" xfId="1554" builtinId="8" hidden="1"/>
    <cellStyle name="Hyperlink" xfId="1556" builtinId="8" hidden="1"/>
    <cellStyle name="Hyperlink" xfId="1558" builtinId="8" hidden="1"/>
    <cellStyle name="Hyperlink" xfId="1560" builtinId="8" hidden="1"/>
    <cellStyle name="Hyperlink" xfId="1562" builtinId="8" hidden="1"/>
    <cellStyle name="Hyperlink" xfId="1564" builtinId="8" hidden="1"/>
    <cellStyle name="Hyperlink" xfId="1566" builtinId="8" hidden="1"/>
    <cellStyle name="Hyperlink" xfId="1568" builtinId="8" hidden="1"/>
    <cellStyle name="Hyperlink" xfId="1570" builtinId="8" hidden="1"/>
    <cellStyle name="Hyperlink" xfId="1572" builtinId="8" hidden="1"/>
    <cellStyle name="Hyperlink" xfId="1574" builtinId="8" hidden="1"/>
    <cellStyle name="Hyperlink" xfId="1576" builtinId="8" hidden="1"/>
    <cellStyle name="Hyperlink" xfId="1578" builtinId="8" hidden="1"/>
    <cellStyle name="Hyperlink" xfId="1580" builtinId="8" hidden="1"/>
    <cellStyle name="Hyperlink" xfId="1582" builtinId="8" hidden="1"/>
    <cellStyle name="Hyperlink" xfId="1584" builtinId="8" hidden="1"/>
    <cellStyle name="Hyperlink" xfId="1586" builtinId="8" hidden="1"/>
    <cellStyle name="Hyperlink" xfId="1588" builtinId="8" hidden="1"/>
    <cellStyle name="Hyperlink" xfId="1590" builtinId="8" hidden="1"/>
    <cellStyle name="Hyperlink" xfId="1592" builtinId="8" hidden="1"/>
    <cellStyle name="Hyperlink" xfId="1594" builtinId="8" hidden="1"/>
    <cellStyle name="Hyperlink" xfId="1596" builtinId="8" hidden="1"/>
    <cellStyle name="Hyperlink" xfId="1598" builtinId="8" hidden="1"/>
    <cellStyle name="Hyperlink" xfId="1600" builtinId="8" hidden="1"/>
    <cellStyle name="Hyperlink" xfId="1602" builtinId="8" hidden="1"/>
    <cellStyle name="Hyperlink" xfId="1604" builtinId="8" hidden="1"/>
    <cellStyle name="Hyperlink" xfId="1606" builtinId="8" hidden="1"/>
    <cellStyle name="Hyperlink" xfId="1608" builtinId="8" hidden="1"/>
    <cellStyle name="Hyperlink" xfId="1610" builtinId="8" hidden="1"/>
    <cellStyle name="Hyperlink" xfId="1612" builtinId="8" hidden="1"/>
    <cellStyle name="Hyperlink" xfId="1614" builtinId="8" hidden="1"/>
    <cellStyle name="Hyperlink" xfId="1616" builtinId="8" hidden="1"/>
    <cellStyle name="Hyperlink" xfId="1618" builtinId="8" hidden="1"/>
    <cellStyle name="Hyperlink" xfId="1620" builtinId="8" hidden="1"/>
    <cellStyle name="Hyperlink" xfId="1622" builtinId="8" hidden="1"/>
    <cellStyle name="Hyperlink" xfId="1624" builtinId="8" hidden="1"/>
    <cellStyle name="Hyperlink" xfId="1626" builtinId="8" hidden="1"/>
    <cellStyle name="Hyperlink" xfId="1628" builtinId="8" hidden="1"/>
    <cellStyle name="Hyperlink" xfId="1630" builtinId="8" hidden="1"/>
    <cellStyle name="Hyperlink" xfId="1632" builtinId="8" hidden="1"/>
    <cellStyle name="Hyperlink" xfId="1634" builtinId="8" hidden="1"/>
    <cellStyle name="Hyperlink" xfId="1636" builtinId="8" hidden="1"/>
    <cellStyle name="Hyperlink" xfId="1638"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698" builtinId="8" hidden="1"/>
    <cellStyle name="Hyperlink" xfId="1700" builtinId="8" hidden="1"/>
    <cellStyle name="Hyperlink" xfId="1702" builtinId="8" hidden="1"/>
    <cellStyle name="Hyperlink" xfId="1704" builtinId="8" hidden="1"/>
    <cellStyle name="Hyperlink" xfId="1706" builtinId="8" hidden="1"/>
    <cellStyle name="Hyperlink" xfId="1708" builtinId="8" hidden="1"/>
    <cellStyle name="Hyperlink" xfId="1710" builtinId="8" hidden="1"/>
    <cellStyle name="Hyperlink" xfId="1712" builtinId="8" hidden="1"/>
    <cellStyle name="Hyperlink" xfId="1714" builtinId="8" hidden="1"/>
    <cellStyle name="Hyperlink" xfId="1716" builtinId="8" hidden="1"/>
    <cellStyle name="Hyperlink" xfId="1718" builtinId="8" hidden="1"/>
    <cellStyle name="Hyperlink" xfId="1720" builtinId="8" hidden="1"/>
    <cellStyle name="Hyperlink" xfId="1722" builtinId="8" hidden="1"/>
    <cellStyle name="Hyperlink" xfId="1724" builtinId="8" hidden="1"/>
    <cellStyle name="Hyperlink" xfId="1726" builtinId="8" hidden="1"/>
    <cellStyle name="Hyperlink" xfId="1728" builtinId="8" hidden="1"/>
    <cellStyle name="Hyperlink" xfId="1730" builtinId="8" hidden="1"/>
    <cellStyle name="Hyperlink" xfId="1732" builtinId="8" hidden="1"/>
    <cellStyle name="Hyperlink" xfId="1734" builtinId="8" hidden="1"/>
    <cellStyle name="Hyperlink" xfId="1736" builtinId="8" hidden="1"/>
    <cellStyle name="Hyperlink" xfId="1738" builtinId="8" hidden="1"/>
    <cellStyle name="Hyperlink" xfId="1740" builtinId="8" hidden="1"/>
    <cellStyle name="Hyperlink" xfId="1742" builtinId="8" hidden="1"/>
    <cellStyle name="Hyperlink" xfId="1744" builtinId="8" hidden="1"/>
    <cellStyle name="Hyperlink" xfId="1746" builtinId="8" hidden="1"/>
    <cellStyle name="Hyperlink" xfId="1748" builtinId="8" hidden="1"/>
    <cellStyle name="Hyperlink" xfId="1750" builtinId="8" hidden="1"/>
    <cellStyle name="Hyperlink" xfId="1752" builtinId="8" hidden="1"/>
    <cellStyle name="Hyperlink" xfId="1754" builtinId="8" hidden="1"/>
    <cellStyle name="Hyperlink" xfId="1756" builtinId="8" hidden="1"/>
    <cellStyle name="Hyperlink" xfId="1758" builtinId="8" hidden="1"/>
    <cellStyle name="Hyperlink" xfId="1760" builtinId="8" hidden="1"/>
    <cellStyle name="Hyperlink" xfId="1762" builtinId="8" hidden="1"/>
    <cellStyle name="Hyperlink" xfId="1764" builtinId="8" hidden="1"/>
    <cellStyle name="Hyperlink" xfId="1766" builtinId="8" hidden="1"/>
    <cellStyle name="Hyperlink" xfId="1768" builtinId="8" hidden="1"/>
    <cellStyle name="Hyperlink" xfId="1770" builtinId="8" hidden="1"/>
    <cellStyle name="Hyperlink" xfId="1772" builtinId="8" hidden="1"/>
    <cellStyle name="Hyperlink" xfId="1774" builtinId="8" hidden="1"/>
    <cellStyle name="Hyperlink" xfId="1776" builtinId="8" hidden="1"/>
    <cellStyle name="Hyperlink" xfId="1778" builtinId="8" hidden="1"/>
    <cellStyle name="Hyperlink" xfId="1780" builtinId="8" hidden="1"/>
    <cellStyle name="Hyperlink" xfId="1782" builtinId="8" hidden="1"/>
    <cellStyle name="Hyperlink" xfId="1784" builtinId="8" hidden="1"/>
    <cellStyle name="Hyperlink" xfId="1786" builtinId="8" hidden="1"/>
    <cellStyle name="Hyperlink" xfId="1788" builtinId="8" hidden="1"/>
    <cellStyle name="Hyperlink" xfId="1790" builtinId="8" hidden="1"/>
    <cellStyle name="Hyperlink" xfId="1792" builtinId="8" hidden="1"/>
    <cellStyle name="Hyperlink" xfId="1794" builtinId="8" hidden="1"/>
    <cellStyle name="Hyperlink" xfId="1796" builtinId="8" hidden="1"/>
    <cellStyle name="Hyperlink" xfId="1798" builtinId="8" hidden="1"/>
    <cellStyle name="Hyperlink" xfId="1800" builtinId="8" hidden="1"/>
    <cellStyle name="Hyperlink" xfId="1802" builtinId="8" hidden="1"/>
    <cellStyle name="Hyperlink" xfId="1804" builtinId="8" hidden="1"/>
    <cellStyle name="Hyperlink" xfId="1806" builtinId="8" hidden="1"/>
    <cellStyle name="Hyperlink" xfId="1808" builtinId="8" hidden="1"/>
    <cellStyle name="Hyperlink" xfId="1810" builtinId="8" hidden="1"/>
    <cellStyle name="Hyperlink" xfId="1812" builtinId="8" hidden="1"/>
    <cellStyle name="Hyperlink" xfId="1814" builtinId="8" hidden="1"/>
    <cellStyle name="Hyperlink" xfId="1816" builtinId="8" hidden="1"/>
    <cellStyle name="Hyperlink" xfId="1818" builtinId="8" hidden="1"/>
    <cellStyle name="Hyperlink" xfId="1820" builtinId="8" hidden="1"/>
    <cellStyle name="Hyperlink" xfId="1822" builtinId="8" hidden="1"/>
    <cellStyle name="Hyperlink" xfId="1824" builtinId="8" hidden="1"/>
    <cellStyle name="Hyperlink" xfId="1826" builtinId="8" hidden="1"/>
    <cellStyle name="Hyperlink" xfId="1828" builtinId="8" hidden="1"/>
    <cellStyle name="Hyperlink" xfId="1830" builtinId="8" hidden="1"/>
    <cellStyle name="Hyperlink" xfId="1832" builtinId="8" hidden="1"/>
    <cellStyle name="Hyperlink" xfId="1834" builtinId="8" hidden="1"/>
    <cellStyle name="Hyperlink" xfId="1836" builtinId="8" hidden="1"/>
    <cellStyle name="Hyperlink" xfId="1838" builtinId="8" hidden="1"/>
    <cellStyle name="Hyperlink" xfId="1840" builtinId="8" hidden="1"/>
    <cellStyle name="Hyperlink" xfId="1842" builtinId="8" hidden="1"/>
    <cellStyle name="Hyperlink" xfId="1844" builtinId="8" hidden="1"/>
    <cellStyle name="Hyperlink" xfId="1846" builtinId="8" hidden="1"/>
    <cellStyle name="Hyperlink" xfId="1848" builtinId="8" hidden="1"/>
    <cellStyle name="Hyperlink" xfId="1850" builtinId="8" hidden="1"/>
    <cellStyle name="Hyperlink" xfId="1852" builtinId="8" hidden="1"/>
    <cellStyle name="Hyperlink" xfId="1854" builtinId="8" hidden="1"/>
    <cellStyle name="Hyperlink" xfId="1856" builtinId="8" hidden="1"/>
    <cellStyle name="Hyperlink" xfId="1858" builtinId="8" hidden="1"/>
    <cellStyle name="Hyperlink" xfId="1860" builtinId="8" hidden="1"/>
    <cellStyle name="Hyperlink" xfId="1862" builtinId="8" hidden="1"/>
    <cellStyle name="Hyperlink" xfId="1864" builtinId="8" hidden="1"/>
    <cellStyle name="Hyperlink" xfId="1866" builtinId="8" hidden="1"/>
    <cellStyle name="Hyperlink" xfId="1868" builtinId="8" hidden="1"/>
    <cellStyle name="Hyperlink" xfId="1870" builtinId="8" hidden="1"/>
    <cellStyle name="Hyperlink" xfId="1872" builtinId="8" hidden="1"/>
    <cellStyle name="Hyperlink" xfId="1874" builtinId="8" hidden="1"/>
    <cellStyle name="Hyperlink" xfId="1876" builtinId="8" hidden="1"/>
    <cellStyle name="Hyperlink" xfId="1878" builtinId="8" hidden="1"/>
    <cellStyle name="Hyperlink" xfId="1880" builtinId="8" hidden="1"/>
    <cellStyle name="Hyperlink" xfId="1882" builtinId="8" hidden="1"/>
    <cellStyle name="Hyperlink" xfId="1884" builtinId="8" hidden="1"/>
    <cellStyle name="Hyperlink" xfId="1886" builtinId="8" hidden="1"/>
    <cellStyle name="Hyperlink" xfId="1888" builtinId="8" hidden="1"/>
    <cellStyle name="Hyperlink" xfId="1890" builtinId="8" hidden="1"/>
    <cellStyle name="Hyperlink" xfId="1892" builtinId="8" hidden="1"/>
    <cellStyle name="Hyperlink" xfId="1894" builtinId="8" hidden="1"/>
    <cellStyle name="Hyperlink" xfId="1896" builtinId="8" hidden="1"/>
    <cellStyle name="Hyperlink" xfId="1898" builtinId="8" hidden="1"/>
    <cellStyle name="Hyperlink" xfId="1900" builtinId="8" hidden="1"/>
    <cellStyle name="Hyperlink" xfId="1902" builtinId="8" hidden="1"/>
    <cellStyle name="Hyperlink" xfId="1904" builtinId="8" hidden="1"/>
    <cellStyle name="Hyperlink" xfId="1906" builtinId="8" hidden="1"/>
    <cellStyle name="Hyperlink" xfId="1908" builtinId="8" hidden="1"/>
    <cellStyle name="Hyperlink" xfId="1910" builtinId="8" hidden="1"/>
    <cellStyle name="Hyperlink" xfId="1912" builtinId="8" hidden="1"/>
    <cellStyle name="Hyperlink" xfId="1914" builtinId="8" hidden="1"/>
    <cellStyle name="Hyperlink" xfId="1916" builtinId="8" hidden="1"/>
    <cellStyle name="Hyperlink" xfId="1918" builtinId="8" hidden="1"/>
    <cellStyle name="Hyperlink" xfId="1920" builtinId="8" hidden="1"/>
    <cellStyle name="Hyperlink" xfId="1922" builtinId="8" hidden="1"/>
    <cellStyle name="Hyperlink" xfId="1924" builtinId="8" hidden="1"/>
    <cellStyle name="Hyperlink" xfId="1926" builtinId="8" hidden="1"/>
    <cellStyle name="Hyperlink" xfId="1928" builtinId="8" hidden="1"/>
    <cellStyle name="Hyperlink" xfId="1930" builtinId="8" hidden="1"/>
    <cellStyle name="Hyperlink" xfId="1932" builtinId="8" hidden="1"/>
    <cellStyle name="Hyperlink" xfId="1934" builtinId="8" hidden="1"/>
    <cellStyle name="Hyperlink" xfId="1936" builtinId="8" hidden="1"/>
    <cellStyle name="Hyperlink" xfId="1938" builtinId="8" hidden="1"/>
    <cellStyle name="Hyperlink" xfId="1940" builtinId="8" hidden="1"/>
    <cellStyle name="Hyperlink" xfId="1942" builtinId="8" hidden="1"/>
    <cellStyle name="Hyperlink" xfId="1944" builtinId="8" hidden="1"/>
    <cellStyle name="Hyperlink" xfId="1946" builtinId="8" hidden="1"/>
    <cellStyle name="Hyperlink" xfId="1948" builtinId="8" hidden="1"/>
    <cellStyle name="Hyperlink" xfId="1950" builtinId="8" hidden="1"/>
    <cellStyle name="Hyperlink" xfId="1952" builtinId="8" hidden="1"/>
    <cellStyle name="Hyperlink" xfId="1954" builtinId="8" hidden="1"/>
    <cellStyle name="Hyperlink" xfId="1956" builtinId="8" hidden="1"/>
    <cellStyle name="Hyperlink" xfId="1958" builtinId="8" hidden="1"/>
    <cellStyle name="Hyperlink" xfId="1960" builtinId="8" hidden="1"/>
    <cellStyle name="Hyperlink" xfId="1962" builtinId="8" hidden="1"/>
    <cellStyle name="Hyperlink" xfId="1964" builtinId="8" hidden="1"/>
    <cellStyle name="Hyperlink" xfId="1966" builtinId="8" hidden="1"/>
    <cellStyle name="Hyperlink" xfId="1968" builtinId="8" hidden="1"/>
    <cellStyle name="Hyperlink" xfId="1970" builtinId="8" hidden="1"/>
    <cellStyle name="Hyperlink" xfId="1972" builtinId="8" hidden="1"/>
    <cellStyle name="Hyperlink" xfId="1974" builtinId="8" hidden="1"/>
    <cellStyle name="Hyperlink" xfId="1976" builtinId="8" hidden="1"/>
    <cellStyle name="Hyperlink" xfId="1978" builtinId="8" hidden="1"/>
    <cellStyle name="Hyperlink" xfId="1980" builtinId="8" hidden="1"/>
    <cellStyle name="Hyperlink" xfId="1982" builtinId="8" hidden="1"/>
    <cellStyle name="Hyperlink" xfId="1984" builtinId="8" hidden="1"/>
    <cellStyle name="Hyperlink" xfId="1986" builtinId="8" hidden="1"/>
    <cellStyle name="Hyperlink" xfId="1988" builtinId="8" hidden="1"/>
    <cellStyle name="Hyperlink" xfId="1990" builtinId="8" hidden="1"/>
    <cellStyle name="Hyperlink" xfId="1992" builtinId="8" hidden="1"/>
    <cellStyle name="Hyperlink" xfId="1994" builtinId="8" hidden="1"/>
    <cellStyle name="Hyperlink" xfId="1996" builtinId="8" hidden="1"/>
    <cellStyle name="Hyperlink" xfId="1998" builtinId="8" hidden="1"/>
    <cellStyle name="Hyperlink" xfId="2000" builtinId="8" hidden="1"/>
    <cellStyle name="Hyperlink" xfId="2002" builtinId="8" hidden="1"/>
    <cellStyle name="Hyperlink" xfId="2004" builtinId="8" hidden="1"/>
    <cellStyle name="Hyperlink" xfId="2006" builtinId="8" hidden="1"/>
    <cellStyle name="Hyperlink" xfId="2008" builtinId="8" hidden="1"/>
    <cellStyle name="Hyperlink" xfId="2010" builtinId="8" hidden="1"/>
    <cellStyle name="Hyperlink" xfId="2012" builtinId="8" hidden="1"/>
    <cellStyle name="Hyperlink" xfId="2014" builtinId="8" hidden="1"/>
    <cellStyle name="Hyperlink" xfId="2016" builtinId="8" hidden="1"/>
    <cellStyle name="Hyperlink" xfId="2018" builtinId="8" hidden="1"/>
    <cellStyle name="Hyperlink" xfId="2020" builtinId="8" hidden="1"/>
    <cellStyle name="Hyperlink" xfId="2022" builtinId="8" hidden="1"/>
    <cellStyle name="Hyperlink" xfId="2024" builtinId="8" hidden="1"/>
    <cellStyle name="Hyperlink" xfId="2026" builtinId="8" hidden="1"/>
    <cellStyle name="Hyperlink" xfId="2028" builtinId="8" hidden="1"/>
    <cellStyle name="Hyperlink" xfId="2030" builtinId="8" hidden="1"/>
    <cellStyle name="Hyperlink" xfId="2032" builtinId="8" hidden="1"/>
    <cellStyle name="Hyperlink" xfId="2034" builtinId="8" hidden="1"/>
    <cellStyle name="Hyperlink" xfId="2036" builtinId="8" hidden="1"/>
    <cellStyle name="Hyperlink" xfId="2038" builtinId="8" hidden="1"/>
    <cellStyle name="Hyperlink" xfId="2040" builtinId="8" hidden="1"/>
    <cellStyle name="Hyperlink" xfId="2042" builtinId="8" hidden="1"/>
    <cellStyle name="Hyperlink" xfId="2044" builtinId="8" hidden="1"/>
    <cellStyle name="Hyperlink" xfId="2046" builtinId="8" hidden="1"/>
    <cellStyle name="Hyperlink" xfId="2048" builtinId="8" hidden="1"/>
    <cellStyle name="Hyperlink" xfId="2050" builtinId="8" hidden="1"/>
    <cellStyle name="Hyperlink" xfId="2052" builtinId="8" hidden="1"/>
    <cellStyle name="Hyperlink" xfId="2054" builtinId="8" hidden="1"/>
    <cellStyle name="Hyperlink" xfId="2056" builtinId="8" hidden="1"/>
    <cellStyle name="Hyperlink" xfId="2058" builtinId="8" hidden="1"/>
    <cellStyle name="Hyperlink" xfId="2060" builtinId="8" hidden="1"/>
    <cellStyle name="Hyperlink" xfId="2062" builtinId="8" hidden="1"/>
    <cellStyle name="Hyperlink" xfId="2064" builtinId="8" hidden="1"/>
    <cellStyle name="Hyperlink" xfId="2066" builtinId="8" hidden="1"/>
    <cellStyle name="Hyperlink" xfId="2068" builtinId="8" hidden="1"/>
    <cellStyle name="Hyperlink" xfId="2070" builtinId="8" hidden="1"/>
    <cellStyle name="Hyperlink" xfId="2072" builtinId="8" hidden="1"/>
    <cellStyle name="Hyperlink" xfId="2074" builtinId="8" hidden="1"/>
    <cellStyle name="Hyperlink" xfId="2076" builtinId="8" hidden="1"/>
    <cellStyle name="Hyperlink" xfId="2078" builtinId="8" hidden="1"/>
    <cellStyle name="Hyperlink" xfId="2080" builtinId="8" hidden="1"/>
    <cellStyle name="Hyperlink" xfId="2082" builtinId="8" hidden="1"/>
    <cellStyle name="Hyperlink" xfId="2084" builtinId="8" hidden="1"/>
    <cellStyle name="Hyperlink" xfId="2086" builtinId="8" hidden="1"/>
    <cellStyle name="Hyperlink" xfId="2088" builtinId="8" hidden="1"/>
    <cellStyle name="Hyperlink" xfId="2090" builtinId="8" hidden="1"/>
    <cellStyle name="Hyperlink" xfId="2092" builtinId="8" hidden="1"/>
    <cellStyle name="Hyperlink" xfId="2094" builtinId="8" hidden="1"/>
    <cellStyle name="Hyperlink" xfId="2096" builtinId="8" hidden="1"/>
    <cellStyle name="Hyperlink" xfId="2098" builtinId="8" hidden="1"/>
    <cellStyle name="Hyperlink" xfId="2100" builtinId="8" hidden="1"/>
    <cellStyle name="Hyperlink" xfId="2102" builtinId="8" hidden="1"/>
    <cellStyle name="Hyperlink" xfId="2104" builtinId="8" hidden="1"/>
    <cellStyle name="Hyperlink" xfId="2106" builtinId="8" hidden="1"/>
    <cellStyle name="Hyperlink" xfId="2108" builtinId="8" hidden="1"/>
    <cellStyle name="Hyperlink" xfId="2110" builtinId="8" hidden="1"/>
    <cellStyle name="Hyperlink" xfId="2112" builtinId="8" hidden="1"/>
    <cellStyle name="Hyperlink" xfId="2114" builtinId="8" hidden="1"/>
    <cellStyle name="Hyperlink" xfId="2116" builtinId="8" hidden="1"/>
    <cellStyle name="Hyperlink" xfId="2118" builtinId="8" hidden="1"/>
    <cellStyle name="Hyperlink" xfId="2120" builtinId="8" hidden="1"/>
    <cellStyle name="Hyperlink" xfId="2122" builtinId="8" hidden="1"/>
    <cellStyle name="Hyperlink" xfId="2124" builtinId="8" hidden="1"/>
    <cellStyle name="Hyperlink" xfId="2126" builtinId="8" hidden="1"/>
    <cellStyle name="Hyperlink" xfId="2128" builtinId="8" hidden="1"/>
    <cellStyle name="Hyperlink" xfId="2130" builtinId="8" hidden="1"/>
    <cellStyle name="Hyperlink" xfId="2132" builtinId="8" hidden="1"/>
    <cellStyle name="Hyperlink" xfId="2134" builtinId="8" hidden="1"/>
    <cellStyle name="Hyperlink" xfId="2136" builtinId="8" hidden="1"/>
    <cellStyle name="Hyperlink" xfId="2138" builtinId="8" hidden="1"/>
    <cellStyle name="Hyperlink" xfId="2140" builtinId="8" hidden="1"/>
    <cellStyle name="Hyperlink" xfId="2142" builtinId="8" hidden="1"/>
    <cellStyle name="Hyperlink" xfId="2144" builtinId="8" hidden="1"/>
    <cellStyle name="Hyperlink" xfId="2146" builtinId="8" hidden="1"/>
    <cellStyle name="Hyperlink" xfId="2148" builtinId="8" hidden="1"/>
    <cellStyle name="Hyperlink" xfId="2150" builtinId="8" hidden="1"/>
    <cellStyle name="Hyperlink" xfId="2152" builtinId="8" hidden="1"/>
    <cellStyle name="Hyperlink" xfId="2154" builtinId="8" hidden="1"/>
    <cellStyle name="Hyperlink" xfId="2156" builtinId="8" hidden="1"/>
    <cellStyle name="Hyperlink" xfId="2158" builtinId="8" hidden="1"/>
    <cellStyle name="Hyperlink" xfId="2160" builtinId="8" hidden="1"/>
    <cellStyle name="Hyperlink" xfId="2162" builtinId="8" hidden="1"/>
    <cellStyle name="Hyperlink" xfId="2164" builtinId="8" hidden="1"/>
    <cellStyle name="Hyperlink" xfId="2166"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2" builtinId="8" hidden="1"/>
    <cellStyle name="Hyperlink" xfId="2184" builtinId="8" hidden="1"/>
    <cellStyle name="Hyperlink" xfId="2186" builtinId="8" hidden="1"/>
    <cellStyle name="Hyperlink" xfId="2188" builtinId="8" hidden="1"/>
    <cellStyle name="Hyperlink" xfId="2190" builtinId="8" hidden="1"/>
    <cellStyle name="Hyperlink" xfId="2192" builtinId="8" hidden="1"/>
    <cellStyle name="Hyperlink" xfId="2194" builtinId="8" hidden="1"/>
    <cellStyle name="Hyperlink" xfId="2196" builtinId="8" hidden="1"/>
    <cellStyle name="Hyperlink" xfId="2198" builtinId="8" hidden="1"/>
    <cellStyle name="Hyperlink" xfId="2200" builtinId="8" hidden="1"/>
    <cellStyle name="Hyperlink" xfId="2202" builtinId="8" hidden="1"/>
    <cellStyle name="Hyperlink" xfId="2204" builtinId="8" hidden="1"/>
    <cellStyle name="Hyperlink" xfId="2206" builtinId="8" hidden="1"/>
    <cellStyle name="Neutral 2" xfId="2208" xr:uid="{00000000-0005-0000-0000-000098080000}"/>
    <cellStyle name="Normal" xfId="0" builtinId="0"/>
    <cellStyle name="Note 2" xfId="936" xr:uid="{00000000-0005-0000-0000-00009A080000}"/>
    <cellStyle name="Note 2 2" xfId="2209" xr:uid="{00000000-0005-0000-0000-00009B080000}"/>
    <cellStyle name="Note 4 2" xfId="2" xr:uid="{00000000-0005-0000-0000-00009C080000}"/>
    <cellStyle name="Note 4 2 2" xfId="935" xr:uid="{00000000-0005-0000-0000-00009D080000}"/>
    <cellStyle name="Note 4 2 2 2" xfId="2210" xr:uid="{00000000-0005-0000-0000-00009E080000}"/>
    <cellStyle name="Note 4 2 3" xfId="941" xr:uid="{00000000-0005-0000-0000-00009F080000}"/>
    <cellStyle name="Note 5" xfId="1" xr:uid="{00000000-0005-0000-0000-0000A0080000}"/>
    <cellStyle name="Note 5 2" xfId="934" xr:uid="{00000000-0005-0000-0000-0000A1080000}"/>
    <cellStyle name="Note 5 3" xfId="937" xr:uid="{00000000-0005-0000-0000-0000A2080000}"/>
    <cellStyle name="Note 5 3 2" xfId="2211" xr:uid="{00000000-0005-0000-0000-0000A3080000}"/>
    <cellStyle name="Note 5 4" xfId="940" xr:uid="{00000000-0005-0000-0000-0000A4080000}"/>
    <cellStyle name="XLConnect.Header" xfId="926" xr:uid="{00000000-0005-0000-0000-0000A5080000}"/>
    <cellStyle name="XLConnect.Numeric" xfId="927" xr:uid="{00000000-0005-0000-0000-0000A6080000}"/>
  </cellStyles>
  <dxfs count="0"/>
  <tableStyles count="0" defaultTableStyle="TableStyleMedium9" defaultPivotStyle="PivotStyleMedium4"/>
  <colors>
    <mruColors>
      <color rgb="FF5BC5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1</xdr:col>
      <xdr:colOff>0</xdr:colOff>
      <xdr:row>55</xdr:row>
      <xdr:rowOff>95249</xdr:rowOff>
    </xdr:from>
    <xdr:to>
      <xdr:col>11</xdr:col>
      <xdr:colOff>0</xdr:colOff>
      <xdr:row>80</xdr:row>
      <xdr:rowOff>85725</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670560" y="10991849"/>
          <a:ext cx="6705600" cy="4943476"/>
          <a:chOff x="685800" y="1095375"/>
          <a:chExt cx="9705976" cy="7063794"/>
        </a:xfrm>
      </xdr:grpSpPr>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85800" y="1095375"/>
            <a:ext cx="9697046" cy="6161594"/>
          </a:xfrm>
          <a:prstGeom prst="rect">
            <a:avLst/>
          </a:prstGeom>
        </xdr:spPr>
      </xdr:pic>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495926" y="7029449"/>
            <a:ext cx="4895850" cy="1129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From Fuchs et al. 2018: Management matters: testing a mitigation strategy for nitrous oxide emissions using legumes on intensively managed grassland.</a:t>
            </a:r>
            <a:r>
              <a:rPr lang="en-US" sz="1100" b="1" baseline="0"/>
              <a:t> Biogeosciences, 15, 5519–5543, 2018.</a:t>
            </a:r>
            <a:endParaRPr lang="en-US" sz="1100" b="1"/>
          </a:p>
        </xdr:txBody>
      </xdr:sp>
    </xdr:grpSp>
    <xdr:clientData/>
  </xdr:twoCellAnchor>
  <xdr:twoCellAnchor>
    <xdr:from>
      <xdr:col>1</xdr:col>
      <xdr:colOff>0</xdr:colOff>
      <xdr:row>83</xdr:row>
      <xdr:rowOff>114300</xdr:rowOff>
    </xdr:from>
    <xdr:to>
      <xdr:col>9</xdr:col>
      <xdr:colOff>332598</xdr:colOff>
      <xdr:row>100</xdr:row>
      <xdr:rowOff>1</xdr:rowOff>
    </xdr:to>
    <xdr:grpSp>
      <xdr:nvGrpSpPr>
        <xdr:cNvPr id="5" name="Group 4">
          <a:extLst>
            <a:ext uri="{FF2B5EF4-FFF2-40B4-BE49-F238E27FC236}">
              <a16:creationId xmlns:a16="http://schemas.microsoft.com/office/drawing/2014/main" id="{00000000-0008-0000-0100-000005000000}"/>
            </a:ext>
          </a:extLst>
        </xdr:cNvPr>
        <xdr:cNvGrpSpPr/>
      </xdr:nvGrpSpPr>
      <xdr:grpSpPr>
        <a:xfrm>
          <a:off x="670560" y="16558260"/>
          <a:ext cx="5697078" cy="3253741"/>
          <a:chOff x="5135673" y="266699"/>
          <a:chExt cx="5818998" cy="3286126"/>
        </a:xfrm>
      </xdr:grpSpPr>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35673" y="266699"/>
            <a:ext cx="5818998" cy="3286126"/>
          </a:xfrm>
          <a:prstGeom prst="rect">
            <a:avLst/>
          </a:prstGeom>
        </xdr:spPr>
      </xdr:pic>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896225" y="733425"/>
            <a:ext cx="2762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B</a:t>
            </a:r>
          </a:p>
        </xdr:txBody>
      </xdr:sp>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7410450" y="2505075"/>
            <a:ext cx="2571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a:t>
            </a:r>
          </a:p>
        </xdr:txBody>
      </xdr:sp>
    </xdr:grpSp>
    <xdr:clientData/>
  </xdr:twoCellAnchor>
  <xdr:twoCellAnchor>
    <xdr:from>
      <xdr:col>1</xdr:col>
      <xdr:colOff>0</xdr:colOff>
      <xdr:row>3</xdr:row>
      <xdr:rowOff>0</xdr:rowOff>
    </xdr:from>
    <xdr:to>
      <xdr:col>9</xdr:col>
      <xdr:colOff>18363</xdr:colOff>
      <xdr:row>50</xdr:row>
      <xdr:rowOff>180545</xdr:rowOff>
    </xdr:to>
    <xdr:grpSp>
      <xdr:nvGrpSpPr>
        <xdr:cNvPr id="17" name="Group 16">
          <a:extLst>
            <a:ext uri="{FF2B5EF4-FFF2-40B4-BE49-F238E27FC236}">
              <a16:creationId xmlns:a16="http://schemas.microsoft.com/office/drawing/2014/main" id="{00000000-0008-0000-0100-000011000000}"/>
            </a:ext>
          </a:extLst>
        </xdr:cNvPr>
        <xdr:cNvGrpSpPr/>
      </xdr:nvGrpSpPr>
      <xdr:grpSpPr>
        <a:xfrm>
          <a:off x="670560" y="594360"/>
          <a:ext cx="5382843" cy="9492185"/>
          <a:chOff x="685800" y="600075"/>
          <a:chExt cx="5504763" cy="9581720"/>
        </a:xfrm>
      </xdr:grpSpPr>
      <xdr:grpSp>
        <xdr:nvGrpSpPr>
          <xdr:cNvPr id="13" name="Group 12">
            <a:extLst>
              <a:ext uri="{FF2B5EF4-FFF2-40B4-BE49-F238E27FC236}">
                <a16:creationId xmlns:a16="http://schemas.microsoft.com/office/drawing/2014/main" id="{00000000-0008-0000-0100-00000D000000}"/>
              </a:ext>
            </a:extLst>
          </xdr:cNvPr>
          <xdr:cNvGrpSpPr/>
        </xdr:nvGrpSpPr>
        <xdr:grpSpPr>
          <a:xfrm>
            <a:off x="685800" y="600075"/>
            <a:ext cx="5504763" cy="9581720"/>
            <a:chOff x="9601200" y="600076"/>
            <a:chExt cx="5504763" cy="9581720"/>
          </a:xfrm>
        </xdr:grpSpPr>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rotWithShape="1">
            <a:blip xmlns:r="http://schemas.openxmlformats.org/officeDocument/2006/relationships" r:embed="rId3"/>
            <a:srcRect b="596"/>
            <a:stretch/>
          </xdr:blipFill>
          <xdr:spPr>
            <a:xfrm>
              <a:off x="9601200" y="600076"/>
              <a:ext cx="5504762" cy="6229350"/>
            </a:xfrm>
            <a:prstGeom prst="rect">
              <a:avLst/>
            </a:prstGeom>
          </xdr:spPr>
        </xdr:pic>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rotWithShape="1">
            <a:blip xmlns:r="http://schemas.openxmlformats.org/officeDocument/2006/relationships" r:embed="rId4"/>
            <a:srcRect t="1111"/>
            <a:stretch/>
          </xdr:blipFill>
          <xdr:spPr>
            <a:xfrm>
              <a:off x="9610725" y="6791325"/>
              <a:ext cx="5495238" cy="3390471"/>
            </a:xfrm>
            <a:prstGeom prst="rect">
              <a:avLst/>
            </a:prstGeom>
          </xdr:spPr>
        </xdr:pic>
      </xdr:grpSp>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3248025" y="4981575"/>
            <a:ext cx="80962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EC station</a:t>
            </a:r>
          </a:p>
        </xdr:txBody>
      </xdr:sp>
    </xdr:grpSp>
    <xdr:clientData/>
  </xdr:twoCellAnchor>
  <xdr:twoCellAnchor>
    <xdr:from>
      <xdr:col>10</xdr:col>
      <xdr:colOff>0</xdr:colOff>
      <xdr:row>3</xdr:row>
      <xdr:rowOff>0</xdr:rowOff>
    </xdr:from>
    <xdr:to>
      <xdr:col>17</xdr:col>
      <xdr:colOff>675592</xdr:colOff>
      <xdr:row>50</xdr:row>
      <xdr:rowOff>180543</xdr:rowOff>
    </xdr:to>
    <xdr:grpSp>
      <xdr:nvGrpSpPr>
        <xdr:cNvPr id="20" name="Group 19">
          <a:extLst>
            <a:ext uri="{FF2B5EF4-FFF2-40B4-BE49-F238E27FC236}">
              <a16:creationId xmlns:a16="http://schemas.microsoft.com/office/drawing/2014/main" id="{00000000-0008-0000-0100-000014000000}"/>
            </a:ext>
          </a:extLst>
        </xdr:cNvPr>
        <xdr:cNvGrpSpPr/>
      </xdr:nvGrpSpPr>
      <xdr:grpSpPr>
        <a:xfrm>
          <a:off x="6705600" y="594360"/>
          <a:ext cx="5361892" cy="9492183"/>
          <a:chOff x="6858000" y="600075"/>
          <a:chExt cx="5476192" cy="9581718"/>
        </a:xfrm>
      </xdr:grpSpPr>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5"/>
          <a:stretch>
            <a:fillRect/>
          </a:stretch>
        </xdr:blipFill>
        <xdr:spPr>
          <a:xfrm>
            <a:off x="6858000" y="600075"/>
            <a:ext cx="5466667" cy="6152381"/>
          </a:xfrm>
          <a:prstGeom prst="rect">
            <a:avLst/>
          </a:prstGeom>
        </xdr:spPr>
      </xdr:pic>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6"/>
          <a:stretch>
            <a:fillRect/>
          </a:stretch>
        </xdr:blipFill>
        <xdr:spPr>
          <a:xfrm>
            <a:off x="6867525" y="6724650"/>
            <a:ext cx="5466667" cy="3457143"/>
          </a:xfrm>
          <a:prstGeom prst="rect">
            <a:avLst/>
          </a:prstGeom>
        </xdr:spPr>
      </xdr:pic>
    </xdr:grpSp>
    <xdr:clientData/>
  </xdr:twoCellAnchor>
  <xdr:twoCellAnchor editAs="oneCell">
    <xdr:from>
      <xdr:col>1</xdr:col>
      <xdr:colOff>75282</xdr:colOff>
      <xdr:row>110</xdr:row>
      <xdr:rowOff>19049</xdr:rowOff>
    </xdr:from>
    <xdr:to>
      <xdr:col>13</xdr:col>
      <xdr:colOff>398140</xdr:colOff>
      <xdr:row>133</xdr:row>
      <xdr:rowOff>179911</xdr:rowOff>
    </xdr:to>
    <xdr:pic>
      <xdr:nvPicPr>
        <xdr:cNvPr id="9" name="Picture 8">
          <a:extLst>
            <a:ext uri="{FF2B5EF4-FFF2-40B4-BE49-F238E27FC236}">
              <a16:creationId xmlns:a16="http://schemas.microsoft.com/office/drawing/2014/main" id="{A17BD5E6-84EA-415C-A776-F13CF6E244C9}"/>
            </a:ext>
          </a:extLst>
        </xdr:cNvPr>
        <xdr:cNvPicPr>
          <a:picLocks noChangeAspect="1"/>
        </xdr:cNvPicPr>
      </xdr:nvPicPr>
      <xdr:blipFill>
        <a:blip xmlns:r="http://schemas.openxmlformats.org/officeDocument/2006/relationships" r:embed="rId7"/>
        <a:stretch>
          <a:fillRect/>
        </a:stretch>
      </xdr:blipFill>
      <xdr:spPr>
        <a:xfrm>
          <a:off x="761082" y="22021799"/>
          <a:ext cx="8552458" cy="47614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584200</xdr:colOff>
      <xdr:row>44</xdr:row>
      <xdr:rowOff>63500</xdr:rowOff>
    </xdr:from>
    <xdr:to>
      <xdr:col>9</xdr:col>
      <xdr:colOff>1092200</xdr:colOff>
      <xdr:row>61</xdr:row>
      <xdr:rowOff>177800</xdr:rowOff>
    </xdr:to>
    <xdr:pic>
      <xdr:nvPicPr>
        <xdr:cNvPr id="2" name="Picture 1" descr="Screen Shot 2017-10-06 at 10.39.06.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68900" y="8737600"/>
          <a:ext cx="3568700" cy="3352800"/>
        </a:xfrm>
        <a:prstGeom prst="rect">
          <a:avLst/>
        </a:prstGeom>
      </xdr:spPr>
    </xdr:pic>
    <xdr:clientData/>
  </xdr:twoCellAnchor>
  <xdr:twoCellAnchor editAs="oneCell">
    <xdr:from>
      <xdr:col>5</xdr:col>
      <xdr:colOff>596900</xdr:colOff>
      <xdr:row>19</xdr:row>
      <xdr:rowOff>101600</xdr:rowOff>
    </xdr:from>
    <xdr:to>
      <xdr:col>9</xdr:col>
      <xdr:colOff>1041400</xdr:colOff>
      <xdr:row>42</xdr:row>
      <xdr:rowOff>139700</xdr:rowOff>
    </xdr:to>
    <xdr:pic>
      <xdr:nvPicPr>
        <xdr:cNvPr id="4" name="Picture 3" descr="Screen Shot 2017-10-06 at 10.41.00.pn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81600" y="3822700"/>
          <a:ext cx="3517900" cy="4419600"/>
        </a:xfrm>
        <a:prstGeom prst="rect">
          <a:avLst/>
        </a:prstGeom>
      </xdr:spPr>
    </xdr:pic>
    <xdr:clientData/>
  </xdr:twoCellAnchor>
  <xdr:twoCellAnchor editAs="oneCell">
    <xdr:from>
      <xdr:col>5</xdr:col>
      <xdr:colOff>533400</xdr:colOff>
      <xdr:row>3</xdr:row>
      <xdr:rowOff>88900</xdr:rowOff>
    </xdr:from>
    <xdr:to>
      <xdr:col>9</xdr:col>
      <xdr:colOff>1016000</xdr:colOff>
      <xdr:row>18</xdr:row>
      <xdr:rowOff>0</xdr:rowOff>
    </xdr:to>
    <xdr:pic>
      <xdr:nvPicPr>
        <xdr:cNvPr id="5" name="Picture 4" descr="Screen Shot 2017-10-06 at 10.36.49.png">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00700" y="762000"/>
          <a:ext cx="3492500" cy="2768600"/>
        </a:xfrm>
        <a:prstGeom prst="rect">
          <a:avLst/>
        </a:prstGeom>
      </xdr:spPr>
    </xdr:pic>
    <xdr:clientData/>
  </xdr:twoCellAnchor>
  <xdr:twoCellAnchor editAs="oneCell">
    <xdr:from>
      <xdr:col>0</xdr:col>
      <xdr:colOff>200025</xdr:colOff>
      <xdr:row>85</xdr:row>
      <xdr:rowOff>9525</xdr:rowOff>
    </xdr:from>
    <xdr:to>
      <xdr:col>6</xdr:col>
      <xdr:colOff>294573</xdr:colOff>
      <xdr:row>126</xdr:row>
      <xdr:rowOff>113262</xdr:rowOff>
    </xdr:to>
    <xdr:pic>
      <xdr:nvPicPr>
        <xdr:cNvPr id="6" name="Picture 5">
          <a:extLst>
            <a:ext uri="{FF2B5EF4-FFF2-40B4-BE49-F238E27FC236}">
              <a16:creationId xmlns:a16="http://schemas.microsoft.com/office/drawing/2014/main" id="{6F955360-3D1C-47A9-B748-ADDB0A7E8FA2}"/>
            </a:ext>
          </a:extLst>
        </xdr:cNvPr>
        <xdr:cNvPicPr>
          <a:picLocks noChangeAspect="1"/>
        </xdr:cNvPicPr>
      </xdr:nvPicPr>
      <xdr:blipFill>
        <a:blip xmlns:r="http://schemas.openxmlformats.org/officeDocument/2006/relationships" r:embed="rId4"/>
        <a:stretch>
          <a:fillRect/>
        </a:stretch>
      </xdr:blipFill>
      <xdr:spPr>
        <a:xfrm>
          <a:off x="200025" y="17106900"/>
          <a:ext cx="5619048" cy="8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165100</xdr:rowOff>
    </xdr:from>
    <xdr:to>
      <xdr:col>17</xdr:col>
      <xdr:colOff>88900</xdr:colOff>
      <xdr:row>55</xdr:row>
      <xdr:rowOff>38100</xdr:rowOff>
    </xdr:to>
    <xdr:pic>
      <xdr:nvPicPr>
        <xdr:cNvPr id="2" name="Picture 1" descr="Screen Shot 2017-10-06 at 15.10.01.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6100"/>
          <a:ext cx="14122400" cy="9969500"/>
        </a:xfrm>
        <a:prstGeom prst="rect">
          <a:avLst/>
        </a:prstGeom>
      </xdr:spPr>
    </xdr:pic>
    <xdr:clientData/>
  </xdr:twoCellAnchor>
  <xdr:twoCellAnchor editAs="oneCell">
    <xdr:from>
      <xdr:col>0</xdr:col>
      <xdr:colOff>0</xdr:colOff>
      <xdr:row>58</xdr:row>
      <xdr:rowOff>0</xdr:rowOff>
    </xdr:from>
    <xdr:to>
      <xdr:col>10</xdr:col>
      <xdr:colOff>749300</xdr:colOff>
      <xdr:row>124</xdr:row>
      <xdr:rowOff>127000</xdr:rowOff>
    </xdr:to>
    <xdr:pic>
      <xdr:nvPicPr>
        <xdr:cNvPr id="3" name="Picture 2" descr="Screen Shot 2017-10-06 at 15.11.55.pn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1049000"/>
          <a:ext cx="9004300" cy="12700000"/>
        </a:xfrm>
        <a:prstGeom prst="rect">
          <a:avLst/>
        </a:prstGeom>
      </xdr:spPr>
    </xdr:pic>
    <xdr:clientData/>
  </xdr:twoCellAnchor>
  <xdr:twoCellAnchor editAs="oneCell">
    <xdr:from>
      <xdr:col>0</xdr:col>
      <xdr:colOff>0</xdr:colOff>
      <xdr:row>126</xdr:row>
      <xdr:rowOff>0</xdr:rowOff>
    </xdr:from>
    <xdr:to>
      <xdr:col>12</xdr:col>
      <xdr:colOff>612322</xdr:colOff>
      <xdr:row>177</xdr:row>
      <xdr:rowOff>192790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0" y="25717500"/>
          <a:ext cx="10736036" cy="10602254"/>
        </a:xfrm>
        <a:prstGeom prst="rect">
          <a:avLst/>
        </a:prstGeom>
      </xdr:spPr>
    </xdr:pic>
    <xdr:clientData/>
  </xdr:twoCellAnchor>
  <xdr:twoCellAnchor editAs="oneCell">
    <xdr:from>
      <xdr:col>0</xdr:col>
      <xdr:colOff>27214</xdr:colOff>
      <xdr:row>179</xdr:row>
      <xdr:rowOff>190500</xdr:rowOff>
    </xdr:from>
    <xdr:to>
      <xdr:col>8</xdr:col>
      <xdr:colOff>30452</xdr:colOff>
      <xdr:row>220</xdr:row>
      <xdr:rowOff>203060</xdr:rowOff>
    </xdr:to>
    <xdr:pic>
      <xdr:nvPicPr>
        <xdr:cNvPr id="5" name="Picture 4">
          <a:extLst>
            <a:ext uri="{FF2B5EF4-FFF2-40B4-BE49-F238E27FC236}">
              <a16:creationId xmlns:a16="http://schemas.microsoft.com/office/drawing/2014/main" id="{4C3C2BE5-062C-46BF-870D-D8B3075A9D93}"/>
            </a:ext>
          </a:extLst>
        </xdr:cNvPr>
        <xdr:cNvPicPr>
          <a:picLocks noChangeAspect="1"/>
        </xdr:cNvPicPr>
      </xdr:nvPicPr>
      <xdr:blipFill>
        <a:blip xmlns:r="http://schemas.openxmlformats.org/officeDocument/2006/relationships" r:embed="rId4"/>
        <a:stretch>
          <a:fillRect/>
        </a:stretch>
      </xdr:blipFill>
      <xdr:spPr>
        <a:xfrm>
          <a:off x="27214" y="36725679"/>
          <a:ext cx="6752381" cy="838095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Feigenwinter  Iris" id="{3045D549-D4BE-41A5-8A22-75A2338BB84C}" userId="S::feiris@ethz.ch::b6182745-1134-46be-8ac6-dfab0a5ef299" providerId="AD"/>
  <person displayName="Wang  Yi" id="{144658EC-1568-4470-92F0-07A98D728E4B}" userId="S::yiwang2@ethz.ch::e007d570-74bc-48a6-a7ff-a69edd63771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137" dT="2021-10-13T09:51:30.43" personId="{3045D549-D4BE-41A5-8A22-75A2338BB84C}" id="{916EBFAF-870E-4796-8EBE-C0B6088AB8CB}">
    <text>changed 2007 to 2006 since it was probably a mistake to put 2007 here</text>
  </threadedComment>
  <threadedComment ref="H138" dT="2021-10-13T09:51:39.40" personId="{3045D549-D4BE-41A5-8A22-75A2338BB84C}" id="{89E98B5A-B022-4CAD-BF4E-CF6B9BE65D0C}">
    <text>changed 2007 to 2006 since it was probably a mistake to put 2007 here</text>
  </threadedComment>
  <threadedComment ref="H155" dT="2021-10-13T09:50:00.59" personId="{3045D549-D4BE-41A5-8A22-75A2338BB84C}" id="{83D4303A-4AF9-4441-B530-0F952A6988EE}">
    <text>changed 2007 to 2006 since it was probably a mistake to put 2007 here</text>
  </threadedComment>
  <threadedComment ref="L426" dT="2021-10-13T10:47:24.76" personId="{3045D549-D4BE-41A5-8A22-75A2338BB84C}" id="{EEBBEFAB-1C8B-4CEC-BA26-589EA939A569}">
    <text>Estimated from webcam images, no information from farmer available</text>
  </threadedComment>
  <threadedComment ref="L431" dT="2021-10-13T10:47:24.76" personId="{3045D549-D4BE-41A5-8A22-75A2338BB84C}" id="{4F4AFCF3-1940-499E-9418-61209FA901A9}">
    <text>Estimated from webcam images, no information from farmer available</text>
  </threadedComment>
  <threadedComment ref="N467" dT="2021-08-02T14:31:22.41" personId="{3045D549-D4BE-41A5-8A22-75A2338BB84C}" id="{4D46A692-9A8E-478D-A19C-A28020EDC02F}">
    <text>From agrotech sheet</text>
  </threadedComment>
  <threadedComment ref="N469" dT="2021-08-02T14:31:22.41" personId="{3045D549-D4BE-41A5-8A22-75A2338BB84C}" id="{F695D22C-942B-4E7E-BDF6-48F67A3ED898}">
    <text>From agrotech sheet</text>
  </threadedComment>
  <threadedComment ref="N471" dT="2021-08-02T14:31:22.41" personId="{3045D549-D4BE-41A5-8A22-75A2338BB84C}" id="{7F2E38F9-4CCE-4B7A-8087-C7D8D67BA38A}">
    <text>From agrotech sheet</text>
  </threadedComment>
  <threadedComment ref="N476" dT="2021-08-02T14:31:22.41" personId="{3045D549-D4BE-41A5-8A22-75A2338BB84C}" id="{87F55534-5608-41A8-B257-556B5941C689}">
    <text>From agrotech sheet</text>
  </threadedComment>
  <threadedComment ref="N477" dT="2021-08-02T14:31:22.41" personId="{3045D549-D4BE-41A5-8A22-75A2338BB84C}" id="{310F2C12-74C5-4E9A-A375-F28A298B9814}">
    <text>From agrotech sheet</text>
  </threadedComment>
  <threadedComment ref="N478" dT="2021-08-02T14:31:22.41" personId="{3045D549-D4BE-41A5-8A22-75A2338BB84C}" id="{E6D68A0B-8E53-4CFF-AE75-2C5D7AB7832E}">
    <text>From agrotech sheet</text>
  </threadedComment>
  <threadedComment ref="N481" dT="2021-03-03T13:46:56.61" personId="{3045D549-D4BE-41A5-8A22-75A2338BB84C}" id="{08DEEBA3-942D-4339-9850-8A7FD5015583}">
    <text>Apprentice was driving too slowly so too much slurry. Farmer said on average 50m3/ha for both parcels but ch4 got more than ch5 so we agreed on these numbers</text>
  </threadedComment>
  <threadedComment ref="F490" dT="2021-10-13T13:14:37.73" personId="{3045D549-D4BE-41A5-8A22-75A2338BB84C}" id="{85708D15-653B-451F-A438-9CCF12E888AD}">
    <text>They left out a strip in the south of the station in the ditch because it was too wet to be driven onto</text>
  </threadedComment>
  <threadedComment ref="F491" dT="2021-10-13T13:13:56.61" personId="{3045D549-D4BE-41A5-8A22-75A2338BB84C}" id="{E893FC4A-40D6-48B6-BD75-19E690C67022}">
    <text>Leftover strip on A got resown</text>
  </threadedComment>
  <threadedComment ref="G494" dT="2021-03-03T13:47:50.38" personId="{3045D549-D4BE-41A5-8A22-75A2338BB84C}" id="{75247B03-15DB-4927-85FB-FE4892F722E9}">
    <text>First time parcel B was fertilized since 2015!</text>
  </threadedComment>
  <threadedComment ref="N494" dT="2021-03-03T13:47:09.18" personId="{3045D549-D4BE-41A5-8A22-75A2338BB84C}" id="{A8EA69F5-9E1D-4CEC-8C59-57AD2984B505}">
    <text>Apprentice was driving too slowly so too much slurry. Farmer said on average 50m3/ha for both parcels but ch4 got more than ch5 so we agreed on these numbers</text>
  </threadedComment>
  <threadedComment ref="G509" dT="2022-10-26T14:08:50.64" personId="{144658EC-1568-4470-92F0-07A98D728E4B}" id="{0702B0E6-25EB-4D20-9FC2-1B9B0B026DCC}">
    <text>No biomass samples</text>
  </threadedComment>
  <threadedComment ref="I513" dT="2022-10-26T14:55:39.12" personId="{144658EC-1568-4470-92F0-07A98D728E4B}" id="{8086F09C-83BE-4F83-BA0E-D73E6F65E1B3}">
    <text>An ellipse was left around the station for biomass sampling. That area was mowed on 2022-08-11, but farmer only took away the grass until 2022-08-16.</text>
  </threadedComment>
  <threadedComment ref="I514" dT="2022-10-26T14:56:35.73" personId="{144658EC-1568-4470-92F0-07A98D728E4B}" id="{64068B4A-0361-494D-B372-3EE6B3265831}">
    <text>On both days</text>
  </threadedComment>
  <threadedComment ref="I516" dT="2022-10-26T14:59:35.77" personId="{144658EC-1568-4470-92F0-07A98D728E4B}" id="{528DC9E4-3599-48CA-8504-BFC4B557B2DE}">
    <text>Farmer told us the fertilization was from Wednesday (2022-10-05) to Friday (2022-10-07)</text>
  </threadedComment>
  <threadedComment ref="G521" dT="2022-10-26T14:08:50.64" personId="{144658EC-1568-4470-92F0-07A98D728E4B}" id="{6637C02C-F663-4643-B137-E7225EEDF015}">
    <text>No biomass samples</text>
  </threadedComment>
  <threadedComment ref="I525" dT="2022-10-26T14:55:39.12" personId="{144658EC-1568-4470-92F0-07A98D728E4B}" id="{FD4C3258-FB14-42DE-AAC4-6CEF7D7C41DC}">
    <text>An ellipse was left around the station for biomass sampling. That area was mowed on 2022-08-11, but farmer only took away the grass until 2022-08-16.</text>
  </threadedComment>
  <threadedComment ref="I526" dT="2022-10-26T14:56:35.73" personId="{144658EC-1568-4470-92F0-07A98D728E4B}" id="{A883F372-B375-4F24-8D9A-D1ADE9A8E5C2}">
    <text>On both days</text>
  </threadedComment>
  <threadedComment ref="I528" dT="2022-10-26T14:59:35.77" personId="{144658EC-1568-4470-92F0-07A98D728E4B}" id="{C6276C91-354E-4269-830D-04A426CCFC4E}">
    <text>Farmer told us the fertilization was from Wednesday (2022-10-05) to Friday (2022-10-07)</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581"/>
  <sheetViews>
    <sheetView tabSelected="1" zoomScaleNormal="100" workbookViewId="0">
      <pane xSplit="9" ySplit="1" topLeftCell="J547" activePane="bottomRight" state="frozen"/>
      <selection pane="topRight" activeCell="J1" sqref="J1"/>
      <selection pane="bottomLeft" activeCell="A2" sqref="A2"/>
      <selection pane="bottomRight" activeCell="AH581" sqref="AH581"/>
    </sheetView>
  </sheetViews>
  <sheetFormatPr defaultColWidth="10.8984375" defaultRowHeight="13.2"/>
  <cols>
    <col min="1" max="1" width="4.8984375" style="156" customWidth="1"/>
    <col min="2" max="2" width="10.8984375" style="65" customWidth="1"/>
    <col min="3" max="3" width="5.09765625" style="156" customWidth="1"/>
    <col min="4" max="4" width="18.19921875" style="48" customWidth="1"/>
    <col min="5" max="5" width="15" style="86" customWidth="1"/>
    <col min="6" max="6" width="13.8984375" style="48" customWidth="1"/>
    <col min="7" max="7" width="22.59765625" style="48" bestFit="1" customWidth="1"/>
    <col min="8" max="8" width="17.59765625" style="157" customWidth="1"/>
    <col min="9" max="9" width="10.8984375" style="157"/>
    <col min="10" max="10" width="10.8984375" style="69"/>
    <col min="11" max="11" width="10.8984375" style="155"/>
    <col min="12" max="12" width="14.59765625" style="154" bestFit="1" customWidth="1"/>
    <col min="13" max="13" width="21.59765625" style="154" customWidth="1"/>
    <col min="14" max="14" width="24.8984375" style="70" customWidth="1"/>
    <col min="15" max="15" width="7.59765625" style="48" customWidth="1"/>
    <col min="16" max="16" width="19.19921875" style="128" customWidth="1"/>
    <col min="17" max="17" width="17.8984375" style="128" customWidth="1"/>
    <col min="18" max="18" width="10.8984375" style="128" customWidth="1"/>
    <col min="19" max="19" width="20.5" style="128" customWidth="1"/>
    <col min="20" max="20" width="16.09765625" style="73" customWidth="1"/>
    <col min="21" max="21" width="19.8984375" style="128" customWidth="1"/>
    <col min="22" max="22" width="22.8984375" style="128" customWidth="1"/>
    <col min="23" max="23" width="22.09765625" style="128" customWidth="1"/>
    <col min="24" max="24" width="24" style="128" customWidth="1"/>
    <col min="25" max="25" width="10.8984375" style="80" customWidth="1"/>
    <col min="26" max="28" width="10.8984375" style="73" customWidth="1"/>
    <col min="29" max="29" width="20.5" style="128" customWidth="1"/>
    <col min="30" max="30" width="10.8984375" style="128" customWidth="1"/>
    <col min="31" max="31" width="15" style="128" customWidth="1"/>
    <col min="32" max="32" width="10.8984375" style="80" customWidth="1"/>
    <col min="33" max="33" width="15.3984375" style="128" customWidth="1"/>
    <col min="34" max="34" width="22.59765625" style="73" customWidth="1"/>
    <col min="35" max="35" width="10.8984375" style="140" customWidth="1"/>
    <col min="36" max="36" width="13.8984375" style="140" customWidth="1"/>
    <col min="37" max="37" width="17.59765625" style="128" customWidth="1"/>
    <col min="38" max="38" width="11" style="128" customWidth="1"/>
    <col min="39" max="43" width="11" style="48" customWidth="1"/>
    <col min="44" max="44" width="3.8984375" style="48" customWidth="1"/>
    <col min="45" max="16384" width="10.8984375" style="48"/>
  </cols>
  <sheetData>
    <row r="1" spans="1:44" ht="15.6">
      <c r="A1" s="49" t="s">
        <v>8</v>
      </c>
      <c r="B1" s="49" t="s">
        <v>11</v>
      </c>
      <c r="C1" s="49" t="s">
        <v>12</v>
      </c>
      <c r="D1" s="50" t="s">
        <v>26</v>
      </c>
      <c r="E1" s="51" t="s">
        <v>20</v>
      </c>
      <c r="F1" s="49" t="s">
        <v>58</v>
      </c>
      <c r="G1" s="50" t="s">
        <v>180</v>
      </c>
      <c r="H1" s="52" t="s">
        <v>13</v>
      </c>
      <c r="I1" s="52" t="s">
        <v>14</v>
      </c>
      <c r="J1" s="50" t="s">
        <v>25</v>
      </c>
      <c r="K1" s="50" t="s">
        <v>72</v>
      </c>
      <c r="L1" s="53" t="s">
        <v>66</v>
      </c>
      <c r="M1" s="53"/>
      <c r="N1" s="54" t="s">
        <v>81</v>
      </c>
      <c r="O1" s="55" t="s">
        <v>16</v>
      </c>
      <c r="P1" s="56" t="s">
        <v>76</v>
      </c>
      <c r="Q1" s="56" t="s">
        <v>59</v>
      </c>
      <c r="R1" s="56" t="s">
        <v>77</v>
      </c>
      <c r="S1" s="56" t="s">
        <v>57</v>
      </c>
      <c r="T1" s="57" t="s">
        <v>79</v>
      </c>
      <c r="U1" s="56" t="s">
        <v>73</v>
      </c>
      <c r="V1" s="56" t="s">
        <v>78</v>
      </c>
      <c r="W1" s="56" t="s">
        <v>74</v>
      </c>
      <c r="X1" s="56" t="s">
        <v>75</v>
      </c>
      <c r="Y1" s="58" t="s">
        <v>196</v>
      </c>
      <c r="Z1" s="59" t="s">
        <v>197</v>
      </c>
      <c r="AA1" s="59" t="s">
        <v>198</v>
      </c>
      <c r="AB1" s="59" t="s">
        <v>0</v>
      </c>
      <c r="AC1" s="60" t="s">
        <v>18</v>
      </c>
      <c r="AD1" s="61" t="s">
        <v>9</v>
      </c>
      <c r="AE1" s="61" t="s">
        <v>10</v>
      </c>
      <c r="AF1" s="60" t="s">
        <v>17</v>
      </c>
      <c r="AG1" s="60" t="s">
        <v>67</v>
      </c>
      <c r="AH1" s="158" t="s">
        <v>55</v>
      </c>
      <c r="AI1" s="62" t="s">
        <v>153</v>
      </c>
      <c r="AJ1" s="62" t="s">
        <v>154</v>
      </c>
      <c r="AK1" s="63" t="s">
        <v>51</v>
      </c>
      <c r="AL1" s="63" t="s">
        <v>52</v>
      </c>
      <c r="AM1" s="64" t="s">
        <v>56</v>
      </c>
      <c r="AN1" s="64" t="s">
        <v>53</v>
      </c>
      <c r="AO1" s="64" t="s">
        <v>54</v>
      </c>
      <c r="AP1" s="64" t="s">
        <v>61</v>
      </c>
      <c r="AQ1" s="64" t="s">
        <v>62</v>
      </c>
      <c r="AR1" s="64" t="s">
        <v>63</v>
      </c>
    </row>
    <row r="2" spans="1:44">
      <c r="A2" s="65">
        <v>1</v>
      </c>
      <c r="B2" s="110">
        <v>2001</v>
      </c>
      <c r="C2" s="66" t="s">
        <v>135</v>
      </c>
      <c r="D2" s="67" t="s">
        <v>105</v>
      </c>
      <c r="E2" s="67" t="s">
        <v>15</v>
      </c>
      <c r="F2" s="67" t="s">
        <v>35</v>
      </c>
      <c r="G2" s="67" t="s">
        <v>44</v>
      </c>
      <c r="H2" s="68">
        <v>36906</v>
      </c>
      <c r="I2" s="68"/>
      <c r="K2" s="70">
        <v>1.4</v>
      </c>
      <c r="L2" s="48">
        <v>54</v>
      </c>
      <c r="M2" s="48"/>
      <c r="N2" s="71">
        <f>IF(L2/K2&gt;0, L2/K2,"")</f>
        <v>38.571428571428577</v>
      </c>
      <c r="O2" s="48" t="s">
        <v>2</v>
      </c>
      <c r="P2" s="72">
        <v>32.07</v>
      </c>
      <c r="Q2" s="72">
        <v>3.6</v>
      </c>
      <c r="R2" s="72">
        <v>0.5</v>
      </c>
      <c r="S2" s="72">
        <v>458.62</v>
      </c>
      <c r="T2" s="73">
        <v>14.3</v>
      </c>
      <c r="U2" s="72">
        <f>N2*1000*X2/100</f>
        <v>6445.2857142857156</v>
      </c>
      <c r="V2" s="72">
        <f>S2*U2/1000</f>
        <v>2955.9369342857149</v>
      </c>
      <c r="W2" s="72">
        <f>U2*P2/1000</f>
        <v>206.7003128571429</v>
      </c>
      <c r="X2" s="72">
        <v>16.71</v>
      </c>
      <c r="Y2" s="72">
        <v>120</v>
      </c>
      <c r="Z2" s="73">
        <v>96</v>
      </c>
      <c r="AA2" s="73">
        <v>463</v>
      </c>
      <c r="AB2" s="73">
        <v>35</v>
      </c>
      <c r="AC2" s="72"/>
      <c r="AD2" s="72">
        <f>$N2*1000*$X2*0.01*$S2*0.001</f>
        <v>2955.9369342857153</v>
      </c>
      <c r="AE2" s="72">
        <f>$N2*1000*$X2*0.01*$P2*0.001</f>
        <v>206.70031285714293</v>
      </c>
      <c r="AF2" s="72"/>
      <c r="AG2" s="72"/>
      <c r="AH2" s="74"/>
      <c r="AI2" s="72"/>
      <c r="AJ2" s="72"/>
      <c r="AK2" s="72"/>
      <c r="AL2" s="72"/>
    </row>
    <row r="3" spans="1:44">
      <c r="A3" s="65">
        <v>2</v>
      </c>
      <c r="B3" s="110">
        <v>2001</v>
      </c>
      <c r="C3" s="66" t="s">
        <v>135</v>
      </c>
      <c r="D3" s="67" t="s">
        <v>105</v>
      </c>
      <c r="E3" s="67" t="s">
        <v>24</v>
      </c>
      <c r="F3" s="67" t="s">
        <v>29</v>
      </c>
      <c r="G3" s="75" t="s">
        <v>30</v>
      </c>
      <c r="H3" s="68">
        <v>36980</v>
      </c>
      <c r="I3" s="68"/>
      <c r="K3" s="70">
        <v>1.4</v>
      </c>
      <c r="L3" s="48">
        <v>1.4</v>
      </c>
      <c r="M3" s="48"/>
      <c r="N3" s="72"/>
      <c r="P3" s="72"/>
      <c r="Q3" s="72"/>
      <c r="R3" s="72"/>
      <c r="S3" s="72"/>
      <c r="T3" s="72"/>
      <c r="U3" s="72"/>
      <c r="V3" s="72"/>
      <c r="W3" s="72"/>
      <c r="X3" s="72"/>
      <c r="Y3" s="72"/>
      <c r="Z3" s="72"/>
      <c r="AA3" s="72"/>
      <c r="AB3" s="72"/>
      <c r="AC3" s="72"/>
      <c r="AD3" s="72"/>
      <c r="AE3" s="72"/>
      <c r="AF3" s="72"/>
      <c r="AG3" s="72"/>
      <c r="AH3" s="74"/>
      <c r="AI3" s="72"/>
      <c r="AJ3" s="72"/>
      <c r="AK3" s="72"/>
      <c r="AL3" s="72"/>
    </row>
    <row r="4" spans="1:44">
      <c r="A4" s="65">
        <v>3</v>
      </c>
      <c r="B4" s="110">
        <v>2001</v>
      </c>
      <c r="C4" s="66" t="s">
        <v>135</v>
      </c>
      <c r="D4" s="67" t="s">
        <v>105</v>
      </c>
      <c r="E4" s="67" t="s">
        <v>24</v>
      </c>
      <c r="F4" s="67" t="s">
        <v>28</v>
      </c>
      <c r="G4" s="67" t="s">
        <v>124</v>
      </c>
      <c r="H4" s="68">
        <v>36983</v>
      </c>
      <c r="I4" s="68"/>
      <c r="K4" s="70">
        <v>1.4</v>
      </c>
      <c r="L4" s="48">
        <v>1.4</v>
      </c>
      <c r="M4" s="48"/>
      <c r="N4" s="72"/>
      <c r="P4" s="72"/>
      <c r="Q4" s="72"/>
      <c r="R4" s="72"/>
      <c r="S4" s="72"/>
      <c r="T4" s="72"/>
      <c r="U4" s="72"/>
      <c r="V4" s="72"/>
      <c r="W4" s="72"/>
      <c r="X4" s="72"/>
      <c r="Y4" s="72"/>
      <c r="Z4" s="72"/>
      <c r="AA4" s="72"/>
      <c r="AB4" s="72"/>
      <c r="AC4" s="72"/>
      <c r="AD4" s="72"/>
      <c r="AE4" s="72"/>
      <c r="AF4" s="72"/>
      <c r="AG4" s="72"/>
      <c r="AH4" s="74"/>
      <c r="AI4" s="72"/>
      <c r="AJ4" s="72"/>
      <c r="AK4" s="72"/>
      <c r="AL4" s="72"/>
    </row>
    <row r="5" spans="1:44">
      <c r="A5" s="65">
        <v>4</v>
      </c>
      <c r="B5" s="110">
        <v>2001</v>
      </c>
      <c r="C5" s="66" t="s">
        <v>135</v>
      </c>
      <c r="D5" s="67" t="s">
        <v>105</v>
      </c>
      <c r="E5" s="67" t="s">
        <v>23</v>
      </c>
      <c r="F5" s="67" t="s">
        <v>27</v>
      </c>
      <c r="G5" s="67" t="s">
        <v>42</v>
      </c>
      <c r="H5" s="68">
        <v>37018</v>
      </c>
      <c r="I5" s="68">
        <v>37026</v>
      </c>
      <c r="J5" s="69">
        <v>1</v>
      </c>
      <c r="K5" s="70">
        <v>1.4</v>
      </c>
      <c r="L5" s="48">
        <v>5</v>
      </c>
      <c r="M5" s="48"/>
      <c r="N5" s="76">
        <v>34.090000000000003</v>
      </c>
      <c r="O5" s="48" t="s">
        <v>64</v>
      </c>
      <c r="P5" s="72"/>
      <c r="Q5" s="72"/>
      <c r="R5" s="72"/>
      <c r="S5" s="72"/>
      <c r="T5" s="72"/>
      <c r="U5" s="72"/>
      <c r="V5" s="72"/>
      <c r="W5" s="72"/>
      <c r="X5" s="72"/>
      <c r="Y5" s="72"/>
      <c r="Z5" s="72"/>
      <c r="AA5" s="72"/>
      <c r="AB5" s="72"/>
      <c r="AC5" s="72">
        <f>N5*AF5*AG5</f>
        <v>3272.6400000000003</v>
      </c>
      <c r="AD5" s="72">
        <f>AC5*0.4089</f>
        <v>1338.1824960000001</v>
      </c>
      <c r="AE5" s="72">
        <f>AC5*0.0263</f>
        <v>86.070432000000011</v>
      </c>
      <c r="AF5" s="72">
        <v>8</v>
      </c>
      <c r="AG5" s="72">
        <v>12</v>
      </c>
      <c r="AI5" s="72"/>
      <c r="AJ5" s="72"/>
      <c r="AK5" s="72"/>
      <c r="AL5" s="72"/>
    </row>
    <row r="6" spans="1:44">
      <c r="A6" s="65">
        <v>5</v>
      </c>
      <c r="B6" s="110">
        <v>2001</v>
      </c>
      <c r="C6" s="66" t="s">
        <v>135</v>
      </c>
      <c r="D6" s="67" t="s">
        <v>105</v>
      </c>
      <c r="E6" s="67" t="s">
        <v>24</v>
      </c>
      <c r="F6" s="67" t="s">
        <v>40</v>
      </c>
      <c r="G6" s="67"/>
      <c r="H6" s="68">
        <v>37049</v>
      </c>
      <c r="I6" s="68"/>
      <c r="K6" s="70">
        <v>1.4</v>
      </c>
      <c r="L6" s="48"/>
      <c r="M6" s="48"/>
      <c r="N6" s="71"/>
      <c r="P6" s="72"/>
      <c r="Q6" s="72"/>
      <c r="R6" s="72"/>
      <c r="S6" s="72"/>
      <c r="T6" s="72"/>
      <c r="U6" s="72"/>
      <c r="V6" s="72"/>
      <c r="W6" s="72"/>
      <c r="X6" s="72"/>
      <c r="Y6" s="72"/>
      <c r="Z6" s="72"/>
      <c r="AA6" s="72"/>
      <c r="AB6" s="72"/>
      <c r="AC6" s="72"/>
      <c r="AD6" s="72"/>
      <c r="AE6" s="72"/>
      <c r="AF6" s="72"/>
      <c r="AG6" s="72"/>
      <c r="AH6" s="74"/>
      <c r="AI6" s="72"/>
      <c r="AJ6" s="72"/>
      <c r="AK6" s="72"/>
      <c r="AL6" s="72"/>
    </row>
    <row r="7" spans="1:44">
      <c r="A7" s="65">
        <v>6</v>
      </c>
      <c r="B7" s="110">
        <v>2001</v>
      </c>
      <c r="C7" s="66" t="s">
        <v>135</v>
      </c>
      <c r="D7" s="67" t="s">
        <v>105</v>
      </c>
      <c r="E7" s="67" t="s">
        <v>24</v>
      </c>
      <c r="F7" s="67" t="s">
        <v>28</v>
      </c>
      <c r="G7" s="77" t="s">
        <v>125</v>
      </c>
      <c r="H7" s="68">
        <v>37049</v>
      </c>
      <c r="I7" s="68"/>
      <c r="K7" s="70">
        <v>1.4</v>
      </c>
      <c r="L7" s="48">
        <v>1.4</v>
      </c>
      <c r="M7" s="48"/>
      <c r="N7" s="71">
        <f>IF(L7/K7&gt;0, L7/K7,"")</f>
        <v>1</v>
      </c>
      <c r="O7" s="48" t="s">
        <v>4</v>
      </c>
      <c r="P7" s="72"/>
      <c r="Q7" s="72"/>
      <c r="R7" s="72"/>
      <c r="S7" s="72"/>
      <c r="T7" s="72"/>
      <c r="U7" s="72"/>
      <c r="V7" s="72"/>
      <c r="W7" s="72"/>
      <c r="X7" s="72"/>
      <c r="Y7" s="72"/>
      <c r="Z7" s="72"/>
      <c r="AA7" s="72"/>
      <c r="AB7" s="72"/>
      <c r="AC7" s="72"/>
      <c r="AD7" s="72"/>
      <c r="AE7" s="72"/>
      <c r="AF7" s="72"/>
      <c r="AG7" s="72"/>
      <c r="AH7" s="74"/>
      <c r="AI7" s="72"/>
      <c r="AJ7" s="72"/>
      <c r="AK7" s="72"/>
      <c r="AL7" s="72"/>
    </row>
    <row r="8" spans="1:44">
      <c r="A8" s="65">
        <v>7</v>
      </c>
      <c r="B8" s="110">
        <v>2001</v>
      </c>
      <c r="C8" s="66" t="s">
        <v>135</v>
      </c>
      <c r="D8" s="67" t="s">
        <v>105</v>
      </c>
      <c r="E8" s="67" t="s">
        <v>21</v>
      </c>
      <c r="F8" s="67" t="s">
        <v>36</v>
      </c>
      <c r="G8" s="67" t="s">
        <v>48</v>
      </c>
      <c r="H8" s="68">
        <v>37049</v>
      </c>
      <c r="I8" s="68"/>
      <c r="K8" s="70">
        <v>1.4</v>
      </c>
      <c r="L8" s="48">
        <v>56</v>
      </c>
      <c r="M8" s="48"/>
      <c r="N8" s="71">
        <f>IF(L8/K8&gt;0, L8/K8,"")</f>
        <v>40</v>
      </c>
      <c r="O8" s="48" t="s">
        <v>3</v>
      </c>
      <c r="P8" s="72"/>
      <c r="Q8" s="72"/>
      <c r="R8" s="72"/>
      <c r="S8" s="72"/>
      <c r="T8" s="72"/>
      <c r="U8" s="72"/>
      <c r="V8" s="72"/>
      <c r="W8" s="72"/>
      <c r="X8" s="72"/>
      <c r="Y8" s="72"/>
      <c r="Z8" s="72"/>
      <c r="AA8" s="72"/>
      <c r="AB8" s="72"/>
      <c r="AC8" s="72"/>
      <c r="AD8" s="72"/>
      <c r="AE8" s="72"/>
      <c r="AF8" s="72"/>
      <c r="AG8" s="72"/>
      <c r="AH8" s="74"/>
      <c r="AI8" s="72"/>
      <c r="AJ8" s="72"/>
      <c r="AK8" s="72"/>
      <c r="AL8" s="72"/>
    </row>
    <row r="9" spans="1:44">
      <c r="A9" s="65">
        <v>8</v>
      </c>
      <c r="B9" s="110">
        <v>2001</v>
      </c>
      <c r="C9" s="66" t="s">
        <v>135</v>
      </c>
      <c r="D9" s="67" t="s">
        <v>105</v>
      </c>
      <c r="E9" s="67" t="s">
        <v>23</v>
      </c>
      <c r="F9" s="67" t="s">
        <v>33</v>
      </c>
      <c r="G9" s="67" t="s">
        <v>34</v>
      </c>
      <c r="H9" s="68">
        <v>37097</v>
      </c>
      <c r="I9" s="68">
        <v>37097</v>
      </c>
      <c r="J9" s="69">
        <v>1</v>
      </c>
      <c r="K9" s="70">
        <v>1.4</v>
      </c>
      <c r="L9" s="48">
        <v>0.8</v>
      </c>
      <c r="M9" s="48"/>
      <c r="N9" s="71">
        <f>IF(L9/K9&gt;0, L9/K9,"")</f>
        <v>0.57142857142857151</v>
      </c>
      <c r="O9" s="48" t="s">
        <v>65</v>
      </c>
      <c r="P9" s="72"/>
      <c r="Q9" s="72"/>
      <c r="R9" s="72"/>
      <c r="S9" s="72"/>
      <c r="T9" s="72"/>
      <c r="U9" s="72"/>
      <c r="V9" s="72"/>
      <c r="W9" s="72"/>
      <c r="X9" s="72">
        <v>37</v>
      </c>
      <c r="Y9" s="72"/>
      <c r="Z9" s="72"/>
      <c r="AA9" s="72"/>
      <c r="AB9" s="72"/>
      <c r="AC9" s="72">
        <f>N9*AG9*X9*0.01</f>
        <v>634.28571428571433</v>
      </c>
      <c r="AD9" s="72">
        <f>AC9*0.4089</f>
        <v>259.35942857142857</v>
      </c>
      <c r="AE9" s="72">
        <f>AC9*0.0263</f>
        <v>16.681714285714289</v>
      </c>
      <c r="AF9" s="72"/>
      <c r="AG9" s="72">
        <v>3000</v>
      </c>
      <c r="AI9" s="72"/>
      <c r="AJ9" s="72"/>
      <c r="AK9" s="72"/>
      <c r="AL9" s="72"/>
    </row>
    <row r="10" spans="1:44">
      <c r="A10" s="65">
        <v>9</v>
      </c>
      <c r="B10" s="110">
        <v>2001</v>
      </c>
      <c r="C10" s="66" t="s">
        <v>135</v>
      </c>
      <c r="D10" s="67" t="s">
        <v>105</v>
      </c>
      <c r="E10" s="67" t="s">
        <v>15</v>
      </c>
      <c r="F10" s="67" t="s">
        <v>32</v>
      </c>
      <c r="G10" s="78" t="s">
        <v>19</v>
      </c>
      <c r="H10" s="68">
        <v>37109</v>
      </c>
      <c r="I10" s="68"/>
      <c r="K10" s="70">
        <v>1.4</v>
      </c>
      <c r="L10" s="48">
        <v>91</v>
      </c>
      <c r="M10" s="48"/>
      <c r="N10" s="71">
        <f>IF(L10/K10&gt;0, L10/K10,"")</f>
        <v>65</v>
      </c>
      <c r="O10" s="48" t="s">
        <v>3</v>
      </c>
      <c r="P10" s="72">
        <v>270</v>
      </c>
      <c r="Q10" s="72">
        <v>135</v>
      </c>
      <c r="R10" s="72">
        <v>135</v>
      </c>
      <c r="S10" s="72">
        <v>0</v>
      </c>
      <c r="T10" s="72">
        <v>0</v>
      </c>
      <c r="U10" s="72">
        <f>N10</f>
        <v>65</v>
      </c>
      <c r="V10" s="72">
        <f>S10*U10/1000</f>
        <v>0</v>
      </c>
      <c r="W10" s="72">
        <f>U10*P10/1000</f>
        <v>17.55</v>
      </c>
      <c r="X10" s="72">
        <v>100</v>
      </c>
      <c r="Y10" s="72">
        <v>18</v>
      </c>
      <c r="Z10" s="72">
        <v>0</v>
      </c>
      <c r="AA10" s="72">
        <v>0</v>
      </c>
      <c r="AB10" s="72">
        <v>0</v>
      </c>
      <c r="AC10" s="72"/>
      <c r="AD10" s="72">
        <f>$N10*1000*$X10*0.01*$S10*0.001</f>
        <v>0</v>
      </c>
      <c r="AE10" s="72">
        <f>$N10*$X10*0.01*$P10*0.001</f>
        <v>17.55</v>
      </c>
      <c r="AF10" s="72"/>
      <c r="AG10" s="72"/>
      <c r="AH10" s="74"/>
      <c r="AI10" s="72"/>
      <c r="AJ10" s="72"/>
      <c r="AK10" s="72"/>
      <c r="AL10" s="72"/>
    </row>
    <row r="11" spans="1:44">
      <c r="A11" s="65">
        <v>10</v>
      </c>
      <c r="B11" s="110">
        <v>2001</v>
      </c>
      <c r="C11" s="66" t="s">
        <v>135</v>
      </c>
      <c r="D11" s="67" t="s">
        <v>105</v>
      </c>
      <c r="E11" s="67" t="s">
        <v>23</v>
      </c>
      <c r="F11" s="67" t="s">
        <v>33</v>
      </c>
      <c r="G11" s="67" t="s">
        <v>34</v>
      </c>
      <c r="H11" s="68">
        <v>37124</v>
      </c>
      <c r="I11" s="68">
        <v>37126</v>
      </c>
      <c r="J11" s="69">
        <v>2</v>
      </c>
      <c r="K11" s="70">
        <v>1.4</v>
      </c>
      <c r="L11" s="48">
        <v>1.5</v>
      </c>
      <c r="M11" s="48"/>
      <c r="N11" s="71">
        <f>IF(L11/K11&gt;0, L11/K11,"")</f>
        <v>1.0714285714285714</v>
      </c>
      <c r="O11" s="48" t="s">
        <v>65</v>
      </c>
      <c r="P11" s="72"/>
      <c r="Q11" s="72"/>
      <c r="R11" s="72"/>
      <c r="S11" s="72"/>
      <c r="T11" s="72"/>
      <c r="U11" s="72"/>
      <c r="V11" s="72"/>
      <c r="W11" s="72"/>
      <c r="X11" s="72">
        <v>37</v>
      </c>
      <c r="Y11" s="72"/>
      <c r="Z11" s="72"/>
      <c r="AA11" s="72"/>
      <c r="AB11" s="72"/>
      <c r="AC11" s="72">
        <f>N11*AG11*X11*0.01</f>
        <v>1189.2857142857142</v>
      </c>
      <c r="AD11" s="72">
        <f>AC11*0.4089</f>
        <v>486.29892857142852</v>
      </c>
      <c r="AE11" s="72">
        <f>AC11*0.0263</f>
        <v>31.278214285714284</v>
      </c>
      <c r="AF11" s="72"/>
      <c r="AG11" s="72">
        <v>3000</v>
      </c>
      <c r="AI11" s="72"/>
      <c r="AJ11" s="72"/>
      <c r="AK11" s="72"/>
      <c r="AL11" s="72"/>
    </row>
    <row r="12" spans="1:44">
      <c r="A12" s="65">
        <v>11</v>
      </c>
      <c r="B12" s="110">
        <v>2001</v>
      </c>
      <c r="C12" s="66" t="s">
        <v>135</v>
      </c>
      <c r="D12" s="67" t="s">
        <v>105</v>
      </c>
      <c r="E12" s="67" t="s">
        <v>24</v>
      </c>
      <c r="F12" s="67" t="s">
        <v>29</v>
      </c>
      <c r="G12" s="67" t="s">
        <v>30</v>
      </c>
      <c r="H12" s="68">
        <v>37146</v>
      </c>
      <c r="I12" s="68"/>
      <c r="K12" s="70">
        <v>1.4</v>
      </c>
      <c r="L12" s="48">
        <v>1.4</v>
      </c>
      <c r="M12" s="48"/>
      <c r="N12" s="72"/>
      <c r="P12" s="72"/>
      <c r="Q12" s="72"/>
      <c r="R12" s="72"/>
      <c r="S12" s="72"/>
      <c r="T12" s="72"/>
      <c r="U12" s="72"/>
      <c r="V12" s="72"/>
      <c r="W12" s="72"/>
      <c r="X12" s="72"/>
      <c r="Y12" s="72"/>
      <c r="Z12" s="72"/>
      <c r="AA12" s="72"/>
      <c r="AB12" s="72"/>
      <c r="AC12" s="72"/>
      <c r="AD12" s="72"/>
      <c r="AE12" s="72"/>
      <c r="AF12" s="72"/>
      <c r="AG12" s="72"/>
      <c r="AH12" s="74"/>
      <c r="AI12" s="72"/>
      <c r="AJ12" s="72"/>
      <c r="AK12" s="72"/>
      <c r="AL12" s="72"/>
    </row>
    <row r="13" spans="1:44">
      <c r="A13" s="65">
        <v>12</v>
      </c>
      <c r="B13" s="110">
        <v>2001</v>
      </c>
      <c r="C13" s="66" t="s">
        <v>135</v>
      </c>
      <c r="D13" s="67" t="s">
        <v>105</v>
      </c>
      <c r="E13" s="67" t="s">
        <v>23</v>
      </c>
      <c r="F13" s="67" t="s">
        <v>33</v>
      </c>
      <c r="G13" s="67" t="s">
        <v>34</v>
      </c>
      <c r="H13" s="68">
        <v>37179</v>
      </c>
      <c r="I13" s="68">
        <v>37180</v>
      </c>
      <c r="J13" s="69">
        <v>3</v>
      </c>
      <c r="K13" s="70">
        <v>1.4</v>
      </c>
      <c r="L13" s="48">
        <v>3.2</v>
      </c>
      <c r="M13" s="48"/>
      <c r="N13" s="71">
        <f>IF(L13/K13&gt;0, L13/K13,"")</f>
        <v>2.285714285714286</v>
      </c>
      <c r="O13" s="48" t="s">
        <v>2</v>
      </c>
      <c r="P13" s="72"/>
      <c r="Q13" s="72"/>
      <c r="R13" s="72"/>
      <c r="S13" s="72"/>
      <c r="T13" s="72"/>
      <c r="U13" s="72"/>
      <c r="V13" s="72"/>
      <c r="W13" s="72"/>
      <c r="X13" s="72">
        <v>37</v>
      </c>
      <c r="Y13" s="72"/>
      <c r="Z13" s="72"/>
      <c r="AA13" s="72"/>
      <c r="AB13" s="72"/>
      <c r="AC13" s="72">
        <f>N13*AG13*X13*0.01</f>
        <v>845.71428571428601</v>
      </c>
      <c r="AD13" s="72">
        <f>AC13*0.4089</f>
        <v>345.81257142857152</v>
      </c>
      <c r="AE13" s="72">
        <f>AC13*0.0263</f>
        <v>22.242285714285721</v>
      </c>
      <c r="AF13" s="72"/>
      <c r="AG13" s="72">
        <v>1000</v>
      </c>
      <c r="AI13" s="72"/>
      <c r="AJ13" s="72"/>
      <c r="AK13" s="72"/>
      <c r="AL13" s="72"/>
    </row>
    <row r="14" spans="1:44">
      <c r="A14" s="65">
        <v>13</v>
      </c>
      <c r="B14" s="110">
        <v>2001</v>
      </c>
      <c r="C14" s="79" t="s">
        <v>136</v>
      </c>
      <c r="D14" s="67" t="s">
        <v>105</v>
      </c>
      <c r="E14" s="67" t="s">
        <v>15</v>
      </c>
      <c r="F14" s="67" t="s">
        <v>35</v>
      </c>
      <c r="G14" s="67" t="s">
        <v>44</v>
      </c>
      <c r="H14" s="68">
        <v>36907</v>
      </c>
      <c r="I14" s="68"/>
      <c r="K14" s="70">
        <v>0.7</v>
      </c>
      <c r="L14" s="48">
        <v>10.8</v>
      </c>
      <c r="M14" s="48"/>
      <c r="N14" s="71">
        <f>IF(L14/K14&gt;0, L14/K14,"")</f>
        <v>15.428571428571431</v>
      </c>
      <c r="O14" s="48" t="s">
        <v>2</v>
      </c>
      <c r="P14" s="72">
        <v>32.07</v>
      </c>
      <c r="Q14" s="72">
        <v>3.6</v>
      </c>
      <c r="R14" s="72">
        <v>0.5</v>
      </c>
      <c r="S14" s="72">
        <v>458.62</v>
      </c>
      <c r="T14" s="73">
        <v>14.3</v>
      </c>
      <c r="U14" s="72">
        <f>N14*1000*X14/100</f>
        <v>2578.1142857142863</v>
      </c>
      <c r="V14" s="72">
        <f>S14*U14/1000</f>
        <v>1182.374773714286</v>
      </c>
      <c r="W14" s="72">
        <f>U14*P14/1000</f>
        <v>82.680125142857165</v>
      </c>
      <c r="X14" s="72">
        <v>16.71</v>
      </c>
      <c r="Y14" s="72">
        <v>50.727272727272698</v>
      </c>
      <c r="Z14" s="73">
        <v>40.909090909090914</v>
      </c>
      <c r="AA14" s="73">
        <v>196.36363636363643</v>
      </c>
      <c r="AB14" s="73">
        <v>14.72727272727273</v>
      </c>
      <c r="AC14" s="72"/>
      <c r="AD14" s="72">
        <f>$N14*1000*$X14*0.01*$S14*0.001</f>
        <v>1182.374773714286</v>
      </c>
      <c r="AE14" s="72">
        <f>$N14*1000*$X14*0.01*$P14*0.001</f>
        <v>82.680125142857179</v>
      </c>
      <c r="AF14" s="72"/>
      <c r="AG14" s="72"/>
      <c r="AH14" s="74"/>
      <c r="AI14" s="72"/>
      <c r="AJ14" s="72"/>
      <c r="AK14" s="72"/>
      <c r="AL14" s="72"/>
    </row>
    <row r="15" spans="1:44" s="80" customFormat="1">
      <c r="A15" s="65">
        <v>14</v>
      </c>
      <c r="B15" s="110">
        <v>2001</v>
      </c>
      <c r="C15" s="79" t="s">
        <v>136</v>
      </c>
      <c r="D15" s="67" t="s">
        <v>105</v>
      </c>
      <c r="E15" s="67" t="s">
        <v>15</v>
      </c>
      <c r="F15" s="67" t="s">
        <v>35</v>
      </c>
      <c r="G15" s="67" t="s">
        <v>46</v>
      </c>
      <c r="H15" s="68">
        <v>36980</v>
      </c>
      <c r="I15" s="68"/>
      <c r="J15" s="69"/>
      <c r="K15" s="70">
        <v>0.7</v>
      </c>
      <c r="L15" s="48">
        <v>29.7</v>
      </c>
      <c r="M15" s="48"/>
      <c r="N15" s="71">
        <f>IF(L15/K15&gt;0, L15/K15,"")</f>
        <v>42.428571428571431</v>
      </c>
      <c r="O15" s="48" t="s">
        <v>5</v>
      </c>
      <c r="P15" s="72">
        <v>53.074999999999989</v>
      </c>
      <c r="Q15" s="72">
        <v>23.814999999999998</v>
      </c>
      <c r="R15" s="72">
        <v>0.5</v>
      </c>
      <c r="S15" s="72">
        <v>442.38499999999993</v>
      </c>
      <c r="T15" s="73">
        <v>9.36</v>
      </c>
      <c r="U15" s="72">
        <f>N15*1000*X15/100</f>
        <v>1306.7999999999995</v>
      </c>
      <c r="V15" s="72">
        <f>S15*U15/1000</f>
        <v>578.10871799999961</v>
      </c>
      <c r="W15" s="72">
        <f>P15*U15/1000</f>
        <v>69.358409999999964</v>
      </c>
      <c r="X15" s="72">
        <v>3.0799999999999992</v>
      </c>
      <c r="Y15" s="72">
        <v>31.500000000000004</v>
      </c>
      <c r="Z15" s="73">
        <v>40.500000000000007</v>
      </c>
      <c r="AA15" s="73">
        <v>94.500000000000014</v>
      </c>
      <c r="AB15" s="73">
        <v>4.5000000000000009</v>
      </c>
      <c r="AC15" s="72"/>
      <c r="AD15" s="72">
        <f>$N15*1000*$X15*0.01*$S15*0.001</f>
        <v>578.10871799999961</v>
      </c>
      <c r="AE15" s="72">
        <f>$N15*1000*$X15*0.01*$P15*0.001</f>
        <v>69.358409999999964</v>
      </c>
      <c r="AF15" s="72"/>
      <c r="AG15" s="72"/>
      <c r="AH15" s="74"/>
      <c r="AI15" s="72"/>
      <c r="AJ15" s="72"/>
      <c r="AK15" s="72"/>
      <c r="AL15" s="72"/>
      <c r="AM15" s="48"/>
      <c r="AN15" s="48"/>
      <c r="AO15" s="48"/>
      <c r="AP15" s="48"/>
      <c r="AQ15" s="48"/>
      <c r="AR15" s="48"/>
    </row>
    <row r="16" spans="1:44" s="80" customFormat="1">
      <c r="A16" s="65">
        <v>15</v>
      </c>
      <c r="B16" s="110">
        <v>2001</v>
      </c>
      <c r="C16" s="79" t="s">
        <v>136</v>
      </c>
      <c r="D16" s="67" t="s">
        <v>105</v>
      </c>
      <c r="E16" s="67" t="s">
        <v>24</v>
      </c>
      <c r="F16" s="67" t="s">
        <v>28</v>
      </c>
      <c r="G16" s="77" t="s">
        <v>124</v>
      </c>
      <c r="H16" s="68">
        <v>37001</v>
      </c>
      <c r="I16" s="68"/>
      <c r="J16" s="69"/>
      <c r="K16" s="70">
        <v>0.7</v>
      </c>
      <c r="L16" s="48">
        <v>0.66</v>
      </c>
      <c r="M16" s="48"/>
      <c r="N16" s="72"/>
      <c r="O16" s="48"/>
      <c r="P16" s="72"/>
      <c r="Q16" s="72"/>
      <c r="R16" s="72"/>
      <c r="S16" s="72"/>
      <c r="T16" s="72"/>
      <c r="U16" s="72"/>
      <c r="V16" s="72"/>
      <c r="W16" s="72"/>
      <c r="X16" s="72"/>
      <c r="Y16" s="72"/>
      <c r="Z16" s="72"/>
      <c r="AA16" s="72"/>
      <c r="AB16" s="72"/>
      <c r="AC16" s="72"/>
      <c r="AD16" s="72"/>
      <c r="AE16" s="72"/>
      <c r="AF16" s="72"/>
      <c r="AG16" s="72"/>
      <c r="AH16" s="74"/>
      <c r="AI16" s="72"/>
      <c r="AJ16" s="72"/>
      <c r="AK16" s="72"/>
      <c r="AL16" s="72"/>
      <c r="AM16" s="48"/>
      <c r="AN16" s="48"/>
      <c r="AO16" s="48"/>
      <c r="AP16" s="48"/>
      <c r="AQ16" s="48"/>
      <c r="AR16" s="48"/>
    </row>
    <row r="17" spans="1:44" s="80" customFormat="1">
      <c r="A17" s="65">
        <v>16</v>
      </c>
      <c r="B17" s="110">
        <v>2001</v>
      </c>
      <c r="C17" s="79" t="s">
        <v>136</v>
      </c>
      <c r="D17" s="67" t="s">
        <v>105</v>
      </c>
      <c r="E17" s="67" t="s">
        <v>23</v>
      </c>
      <c r="F17" s="67" t="s">
        <v>33</v>
      </c>
      <c r="G17" s="67" t="s">
        <v>34</v>
      </c>
      <c r="H17" s="68">
        <v>37020</v>
      </c>
      <c r="I17" s="68">
        <v>37021</v>
      </c>
      <c r="J17" s="69">
        <v>1</v>
      </c>
      <c r="K17" s="70">
        <v>0.7</v>
      </c>
      <c r="L17" s="48">
        <v>1.5</v>
      </c>
      <c r="M17" s="48"/>
      <c r="N17" s="71">
        <f>IF(L17/K17&gt;0, L17/K17,"")</f>
        <v>2.1428571428571428</v>
      </c>
      <c r="O17" s="48" t="s">
        <v>65</v>
      </c>
      <c r="P17" s="72"/>
      <c r="Q17" s="72"/>
      <c r="R17" s="72"/>
      <c r="S17" s="72"/>
      <c r="T17" s="72"/>
      <c r="U17" s="72"/>
      <c r="V17" s="72"/>
      <c r="W17" s="72"/>
      <c r="X17" s="72">
        <v>37</v>
      </c>
      <c r="Y17" s="72"/>
      <c r="Z17" s="72"/>
      <c r="AA17" s="72"/>
      <c r="AB17" s="72"/>
      <c r="AC17" s="72">
        <f>N17*AG17*X17*0.01</f>
        <v>2378.5714285714284</v>
      </c>
      <c r="AD17" s="72">
        <f>AC17*0.4089</f>
        <v>972.59785714285704</v>
      </c>
      <c r="AE17" s="72">
        <f>AC17*0.0263</f>
        <v>62.556428571428569</v>
      </c>
      <c r="AF17" s="72"/>
      <c r="AG17" s="72">
        <v>3000</v>
      </c>
      <c r="AH17" s="73"/>
      <c r="AI17" s="72"/>
      <c r="AJ17" s="72"/>
      <c r="AK17" s="72"/>
      <c r="AL17" s="72"/>
      <c r="AM17" s="48"/>
      <c r="AN17" s="48"/>
      <c r="AO17" s="48"/>
      <c r="AP17" s="48"/>
      <c r="AQ17" s="48"/>
      <c r="AR17" s="48"/>
    </row>
    <row r="18" spans="1:44" s="80" customFormat="1">
      <c r="A18" s="65">
        <v>17</v>
      </c>
      <c r="B18" s="110">
        <v>2001</v>
      </c>
      <c r="C18" s="79" t="s">
        <v>136</v>
      </c>
      <c r="D18" s="67" t="s">
        <v>105</v>
      </c>
      <c r="E18" s="67" t="s">
        <v>15</v>
      </c>
      <c r="F18" s="67" t="s">
        <v>35</v>
      </c>
      <c r="G18" s="67" t="s">
        <v>46</v>
      </c>
      <c r="H18" s="68">
        <v>37022</v>
      </c>
      <c r="I18" s="68"/>
      <c r="J18" s="69"/>
      <c r="K18" s="70">
        <v>0.7</v>
      </c>
      <c r="L18" s="48">
        <v>35</v>
      </c>
      <c r="M18" s="48"/>
      <c r="N18" s="71">
        <f>IF(L18/K18&gt;0, L18/K18,"")</f>
        <v>50</v>
      </c>
      <c r="O18" s="48" t="s">
        <v>5</v>
      </c>
      <c r="P18" s="72">
        <v>53.074999999999989</v>
      </c>
      <c r="Q18" s="72">
        <v>23.814999999999998</v>
      </c>
      <c r="R18" s="72">
        <v>0.5</v>
      </c>
      <c r="S18" s="72">
        <v>442.38499999999993</v>
      </c>
      <c r="T18" s="73">
        <v>9.36</v>
      </c>
      <c r="U18" s="72">
        <f>N18*1000*X18/100</f>
        <v>1539.9999999999998</v>
      </c>
      <c r="V18" s="72">
        <f>S18*U18/1000</f>
        <v>681.27289999999982</v>
      </c>
      <c r="W18" s="72">
        <f>P18*U18/1000</f>
        <v>81.735499999999973</v>
      </c>
      <c r="X18" s="72">
        <v>3.0799999999999992</v>
      </c>
      <c r="Y18" s="72">
        <v>37.121212121212125</v>
      </c>
      <c r="Z18" s="73">
        <v>21.212121212121215</v>
      </c>
      <c r="AA18" s="73">
        <v>95.454545454545467</v>
      </c>
      <c r="AB18" s="73">
        <v>5.3030303030303036</v>
      </c>
      <c r="AC18" s="72"/>
      <c r="AD18" s="72">
        <f>$N18*1000*$X18*0.01*$S18*0.001</f>
        <v>681.27289999999982</v>
      </c>
      <c r="AE18" s="72">
        <f>$N18*1000*$X18*0.01*$P18*0.001</f>
        <v>81.735499999999973</v>
      </c>
      <c r="AF18" s="72"/>
      <c r="AG18" s="72"/>
      <c r="AH18" s="74"/>
      <c r="AI18" s="72"/>
      <c r="AJ18" s="72"/>
      <c r="AK18" s="72"/>
      <c r="AL18" s="72"/>
      <c r="AM18" s="48"/>
      <c r="AN18" s="48"/>
      <c r="AO18" s="48"/>
      <c r="AP18" s="48"/>
      <c r="AQ18" s="48"/>
      <c r="AR18" s="48"/>
    </row>
    <row r="19" spans="1:44">
      <c r="A19" s="65">
        <v>18</v>
      </c>
      <c r="B19" s="110">
        <v>2001</v>
      </c>
      <c r="C19" s="79" t="s">
        <v>136</v>
      </c>
      <c r="D19" s="67" t="s">
        <v>105</v>
      </c>
      <c r="E19" s="67" t="s">
        <v>24</v>
      </c>
      <c r="F19" s="67" t="s">
        <v>29</v>
      </c>
      <c r="G19" s="67" t="s">
        <v>30</v>
      </c>
      <c r="H19" s="68">
        <v>37033</v>
      </c>
      <c r="I19" s="68"/>
      <c r="K19" s="70">
        <v>0.7</v>
      </c>
      <c r="L19" s="48"/>
      <c r="M19" s="48"/>
      <c r="N19" s="72"/>
      <c r="P19" s="72"/>
      <c r="Q19" s="72"/>
      <c r="R19" s="72"/>
      <c r="S19" s="72"/>
      <c r="T19" s="72"/>
      <c r="U19" s="72"/>
      <c r="V19" s="72"/>
      <c r="W19" s="72"/>
      <c r="X19" s="72"/>
      <c r="Y19" s="72"/>
      <c r="Z19" s="72"/>
      <c r="AA19" s="72"/>
      <c r="AB19" s="72"/>
      <c r="AC19" s="72"/>
      <c r="AD19" s="72"/>
      <c r="AE19" s="72"/>
      <c r="AF19" s="72"/>
      <c r="AG19" s="72"/>
      <c r="AH19" s="74"/>
      <c r="AI19" s="72"/>
      <c r="AJ19" s="72"/>
      <c r="AK19" s="72"/>
      <c r="AL19" s="72"/>
    </row>
    <row r="20" spans="1:44">
      <c r="A20" s="65">
        <v>19</v>
      </c>
      <c r="B20" s="110">
        <v>2001</v>
      </c>
      <c r="C20" s="79" t="s">
        <v>136</v>
      </c>
      <c r="D20" s="67" t="s">
        <v>105</v>
      </c>
      <c r="E20" s="67" t="s">
        <v>23</v>
      </c>
      <c r="F20" s="67" t="s">
        <v>27</v>
      </c>
      <c r="G20" s="67" t="s">
        <v>45</v>
      </c>
      <c r="H20" s="68">
        <v>37036</v>
      </c>
      <c r="I20" s="68">
        <v>37052</v>
      </c>
      <c r="J20" s="69">
        <v>2</v>
      </c>
      <c r="K20" s="70">
        <v>0.7</v>
      </c>
      <c r="L20" s="71">
        <v>40</v>
      </c>
      <c r="M20" s="71"/>
      <c r="N20" s="71">
        <f>L20/K20</f>
        <v>57.142857142857146</v>
      </c>
      <c r="O20" s="48" t="s">
        <v>64</v>
      </c>
      <c r="P20" s="72"/>
      <c r="Q20" s="72"/>
      <c r="R20" s="72"/>
      <c r="S20" s="72"/>
      <c r="T20" s="72"/>
      <c r="U20" s="72"/>
      <c r="V20" s="72"/>
      <c r="W20" s="72"/>
      <c r="X20" s="72"/>
      <c r="Y20" s="72"/>
      <c r="Z20" s="72"/>
      <c r="AA20" s="72"/>
      <c r="AB20" s="72"/>
      <c r="AC20" s="72">
        <f>N20*AG20*AF20</f>
        <v>1285.7142857142858</v>
      </c>
      <c r="AD20" s="72">
        <f>AC20*0.4089</f>
        <v>525.7285714285714</v>
      </c>
      <c r="AE20" s="72">
        <f>AC20*0.0263</f>
        <v>33.814285714285717</v>
      </c>
      <c r="AF20" s="72">
        <v>15</v>
      </c>
      <c r="AG20" s="72">
        <v>1.5</v>
      </c>
      <c r="AI20" s="72"/>
      <c r="AJ20" s="72"/>
      <c r="AK20" s="72"/>
      <c r="AL20" s="72"/>
    </row>
    <row r="21" spans="1:44">
      <c r="A21" s="65">
        <v>20</v>
      </c>
      <c r="B21" s="110">
        <v>2001</v>
      </c>
      <c r="C21" s="79" t="s">
        <v>136</v>
      </c>
      <c r="D21" s="67" t="s">
        <v>105</v>
      </c>
      <c r="E21" s="67" t="s">
        <v>23</v>
      </c>
      <c r="F21" s="67" t="s">
        <v>33</v>
      </c>
      <c r="G21" s="67" t="s">
        <v>34</v>
      </c>
      <c r="H21" s="68">
        <v>37097</v>
      </c>
      <c r="I21" s="68">
        <v>37098</v>
      </c>
      <c r="J21" s="69">
        <v>3</v>
      </c>
      <c r="K21" s="70">
        <v>0.7</v>
      </c>
      <c r="L21" s="48">
        <v>1</v>
      </c>
      <c r="M21" s="48"/>
      <c r="N21" s="71">
        <f>IF(L21/K21&gt;0, L21/K21,"")</f>
        <v>1.4285714285714286</v>
      </c>
      <c r="O21" s="48" t="s">
        <v>65</v>
      </c>
      <c r="P21" s="72"/>
      <c r="Q21" s="72"/>
      <c r="R21" s="72"/>
      <c r="S21" s="72"/>
      <c r="T21" s="72"/>
      <c r="U21" s="72"/>
      <c r="V21" s="72"/>
      <c r="W21" s="72"/>
      <c r="X21" s="72">
        <v>37</v>
      </c>
      <c r="Y21" s="72"/>
      <c r="Z21" s="72"/>
      <c r="AA21" s="72"/>
      <c r="AB21" s="72"/>
      <c r="AC21" s="72">
        <f>N21*AG21*X21*0.01</f>
        <v>1585.7142857142858</v>
      </c>
      <c r="AD21" s="72">
        <f>AC21*0.4089</f>
        <v>648.39857142857147</v>
      </c>
      <c r="AE21" s="72">
        <f>AC21*0.0263</f>
        <v>41.704285714285717</v>
      </c>
      <c r="AF21" s="72"/>
      <c r="AG21" s="72">
        <v>3000</v>
      </c>
      <c r="AI21" s="72"/>
      <c r="AJ21" s="72"/>
      <c r="AK21" s="72"/>
      <c r="AL21" s="72"/>
    </row>
    <row r="22" spans="1:44">
      <c r="A22" s="65">
        <v>21</v>
      </c>
      <c r="B22" s="110">
        <v>2001</v>
      </c>
      <c r="C22" s="79" t="s">
        <v>136</v>
      </c>
      <c r="D22" s="67" t="s">
        <v>105</v>
      </c>
      <c r="E22" s="67" t="s">
        <v>23</v>
      </c>
      <c r="F22" s="67" t="s">
        <v>33</v>
      </c>
      <c r="G22" s="67" t="s">
        <v>34</v>
      </c>
      <c r="H22" s="68">
        <v>37124</v>
      </c>
      <c r="I22" s="68">
        <v>37126</v>
      </c>
      <c r="J22" s="69">
        <v>4</v>
      </c>
      <c r="K22" s="70">
        <v>0.7</v>
      </c>
      <c r="L22" s="48">
        <v>0.5</v>
      </c>
      <c r="M22" s="48"/>
      <c r="N22" s="71">
        <f>IF(L22/K22&gt;0, L22/K22,"")</f>
        <v>0.7142857142857143</v>
      </c>
      <c r="O22" s="48" t="s">
        <v>65</v>
      </c>
      <c r="P22" s="72"/>
      <c r="Q22" s="72"/>
      <c r="R22" s="72"/>
      <c r="S22" s="72"/>
      <c r="T22" s="72"/>
      <c r="U22" s="72"/>
      <c r="V22" s="72"/>
      <c r="W22" s="72"/>
      <c r="X22" s="72">
        <v>37</v>
      </c>
      <c r="Y22" s="72"/>
      <c r="Z22" s="72"/>
      <c r="AA22" s="72"/>
      <c r="AB22" s="72"/>
      <c r="AC22" s="72">
        <f>N22*AG22*X22*0.01</f>
        <v>792.85714285714289</v>
      </c>
      <c r="AD22" s="72">
        <f>AC22*0.4089</f>
        <v>324.19928571428574</v>
      </c>
      <c r="AE22" s="72">
        <f>AC22*0.0263</f>
        <v>20.852142857142859</v>
      </c>
      <c r="AF22" s="72"/>
      <c r="AG22" s="72">
        <v>3000</v>
      </c>
      <c r="AI22" s="72"/>
      <c r="AJ22" s="72"/>
      <c r="AK22" s="72"/>
      <c r="AL22" s="72"/>
    </row>
    <row r="23" spans="1:44">
      <c r="A23" s="65">
        <v>22</v>
      </c>
      <c r="B23" s="144">
        <v>2002</v>
      </c>
      <c r="C23" s="66" t="s">
        <v>135</v>
      </c>
      <c r="D23" s="67" t="s">
        <v>105</v>
      </c>
      <c r="E23" s="67" t="s">
        <v>15</v>
      </c>
      <c r="F23" s="67" t="s">
        <v>35</v>
      </c>
      <c r="G23" s="75" t="s">
        <v>46</v>
      </c>
      <c r="H23" s="68">
        <v>37320</v>
      </c>
      <c r="I23" s="68"/>
      <c r="K23" s="70">
        <v>1.4</v>
      </c>
      <c r="L23" s="48">
        <v>60</v>
      </c>
      <c r="M23" s="48"/>
      <c r="N23" s="71">
        <f>IF(L23/K23&gt;0, L23/K23,"")</f>
        <v>42.857142857142861</v>
      </c>
      <c r="O23" s="48" t="s">
        <v>5</v>
      </c>
      <c r="P23" s="72">
        <v>53.075000000000003</v>
      </c>
      <c r="Q23" s="72">
        <v>23.815000000000001</v>
      </c>
      <c r="R23" s="72">
        <v>0.5</v>
      </c>
      <c r="S23" s="72">
        <v>442.38499999999999</v>
      </c>
      <c r="T23" s="73">
        <v>9.36</v>
      </c>
      <c r="U23" s="72">
        <f>N23*1000*X23/100</f>
        <v>1320.0000000000002</v>
      </c>
      <c r="V23" s="72">
        <f>S23*U23/1000</f>
        <v>583.94820000000004</v>
      </c>
      <c r="W23" s="72">
        <f>P23*U23/1000</f>
        <v>70.059000000000012</v>
      </c>
      <c r="X23" s="72">
        <v>3.08</v>
      </c>
      <c r="Y23" s="72">
        <v>30.000000000000004</v>
      </c>
      <c r="Z23" s="73">
        <v>17.142857142857142</v>
      </c>
      <c r="AA23" s="73">
        <v>77.142857142857153</v>
      </c>
      <c r="AB23" s="73">
        <v>4.2857142857142856</v>
      </c>
      <c r="AC23" s="72"/>
      <c r="AD23" s="72">
        <f>$N23*1000*$X23*0.01*$S23*0.001</f>
        <v>583.94820000000004</v>
      </c>
      <c r="AE23" s="72">
        <f>$N23*1000*$X23*0.01*$P23*0.001</f>
        <v>70.059000000000012</v>
      </c>
      <c r="AF23" s="72"/>
      <c r="AG23" s="72"/>
      <c r="AH23" s="74"/>
      <c r="AI23" s="72"/>
      <c r="AJ23" s="72"/>
      <c r="AK23" s="72"/>
      <c r="AL23" s="72"/>
    </row>
    <row r="24" spans="1:44">
      <c r="A24" s="65">
        <v>23</v>
      </c>
      <c r="B24" s="144">
        <v>2002</v>
      </c>
      <c r="C24" s="66" t="s">
        <v>135</v>
      </c>
      <c r="D24" s="67" t="s">
        <v>105</v>
      </c>
      <c r="E24" s="67" t="s">
        <v>15</v>
      </c>
      <c r="F24" s="67" t="s">
        <v>35</v>
      </c>
      <c r="G24" s="67" t="s">
        <v>46</v>
      </c>
      <c r="H24" s="68">
        <v>37323</v>
      </c>
      <c r="I24" s="68"/>
      <c r="K24" s="70">
        <v>1.4</v>
      </c>
      <c r="L24" s="48">
        <v>28</v>
      </c>
      <c r="M24" s="48"/>
      <c r="N24" s="71">
        <f>IF(L24/K24&gt;0, L24/K24,"")</f>
        <v>20</v>
      </c>
      <c r="O24" s="48" t="s">
        <v>5</v>
      </c>
      <c r="P24" s="72">
        <v>53.075000000000003</v>
      </c>
      <c r="Q24" s="72">
        <v>23.815000000000001</v>
      </c>
      <c r="R24" s="72">
        <v>0.5</v>
      </c>
      <c r="S24" s="72">
        <v>442.38499999999999</v>
      </c>
      <c r="T24" s="73">
        <v>9.36</v>
      </c>
      <c r="U24" s="72">
        <f>N24*1000*X24/100</f>
        <v>616</v>
      </c>
      <c r="V24" s="72">
        <f>S24*U24/1000</f>
        <v>272.50915999999995</v>
      </c>
      <c r="W24" s="72">
        <f>P24*U24/1000</f>
        <v>32.694200000000002</v>
      </c>
      <c r="X24" s="72">
        <v>3.08</v>
      </c>
      <c r="Y24" s="72">
        <v>14</v>
      </c>
      <c r="Z24" s="73">
        <v>8.0000000000000018</v>
      </c>
      <c r="AA24" s="73">
        <v>36</v>
      </c>
      <c r="AB24" s="73">
        <v>2.0000000000000004</v>
      </c>
      <c r="AC24" s="72"/>
      <c r="AD24" s="72">
        <f>$N24*1000*$X24*0.01*$S24*0.001</f>
        <v>272.50915999999995</v>
      </c>
      <c r="AE24" s="72">
        <f>$N24*1000*$X24*0.01*$P24*0.001</f>
        <v>32.694200000000002</v>
      </c>
      <c r="AF24" s="72"/>
      <c r="AG24" s="72"/>
      <c r="AH24" s="74"/>
      <c r="AI24" s="72"/>
      <c r="AJ24" s="72"/>
      <c r="AK24" s="72"/>
      <c r="AL24" s="72"/>
    </row>
    <row r="25" spans="1:44">
      <c r="A25" s="65">
        <v>24</v>
      </c>
      <c r="B25" s="144">
        <v>2002</v>
      </c>
      <c r="C25" s="66" t="s">
        <v>135</v>
      </c>
      <c r="D25" s="67" t="s">
        <v>105</v>
      </c>
      <c r="E25" s="67" t="s">
        <v>23</v>
      </c>
      <c r="F25" s="67" t="s">
        <v>27</v>
      </c>
      <c r="G25" s="67" t="s">
        <v>42</v>
      </c>
      <c r="H25" s="68">
        <v>37343</v>
      </c>
      <c r="I25" s="68">
        <v>37357</v>
      </c>
      <c r="J25" s="69">
        <v>1</v>
      </c>
      <c r="K25" s="70">
        <v>1.4</v>
      </c>
      <c r="L25" s="48">
        <v>25.2</v>
      </c>
      <c r="M25" s="48"/>
      <c r="N25" s="81">
        <v>10.714285714285715</v>
      </c>
      <c r="O25" s="82" t="s">
        <v>64</v>
      </c>
      <c r="P25" s="72"/>
      <c r="Q25" s="72"/>
      <c r="R25" s="72"/>
      <c r="S25" s="72"/>
      <c r="T25" s="72"/>
      <c r="U25" s="72"/>
      <c r="V25" s="72"/>
      <c r="W25" s="72"/>
      <c r="X25" s="72"/>
      <c r="Y25" s="72"/>
      <c r="Z25" s="72"/>
      <c r="AA25" s="72"/>
      <c r="AB25" s="72"/>
      <c r="AC25" s="72">
        <f>$N25*100</f>
        <v>1071.4285714285716</v>
      </c>
      <c r="AD25" s="72">
        <f>AC25*0.4089</f>
        <v>438.10714285714289</v>
      </c>
      <c r="AE25" s="72">
        <f>AC25*0.0263</f>
        <v>28.178571428571434</v>
      </c>
      <c r="AF25" s="72">
        <v>14</v>
      </c>
      <c r="AG25" s="72">
        <v>12</v>
      </c>
      <c r="AI25" s="72"/>
      <c r="AJ25" s="72"/>
      <c r="AK25" s="72"/>
      <c r="AL25" s="72"/>
    </row>
    <row r="26" spans="1:44">
      <c r="A26" s="65">
        <v>25</v>
      </c>
      <c r="B26" s="144">
        <v>2002</v>
      </c>
      <c r="C26" s="66" t="s">
        <v>135</v>
      </c>
      <c r="D26" s="67" t="s">
        <v>105</v>
      </c>
      <c r="E26" s="67" t="s">
        <v>15</v>
      </c>
      <c r="F26" s="67" t="s">
        <v>35</v>
      </c>
      <c r="G26" s="67" t="s">
        <v>46</v>
      </c>
      <c r="H26" s="68">
        <v>37358</v>
      </c>
      <c r="I26" s="68"/>
      <c r="K26" s="70">
        <v>1.4</v>
      </c>
      <c r="L26" s="48">
        <v>60</v>
      </c>
      <c r="M26" s="48"/>
      <c r="N26" s="71">
        <f>IF(L26/K26&gt;0, L26/K26,"")</f>
        <v>42.857142857142861</v>
      </c>
      <c r="O26" s="48" t="s">
        <v>5</v>
      </c>
      <c r="P26" s="72">
        <v>53.075000000000003</v>
      </c>
      <c r="Q26" s="72">
        <v>23.815000000000001</v>
      </c>
      <c r="R26" s="72">
        <v>0.5</v>
      </c>
      <c r="S26" s="72">
        <v>442.38499999999999</v>
      </c>
      <c r="T26" s="73">
        <v>9.36</v>
      </c>
      <c r="U26" s="72">
        <f>N26*1000*X26/100</f>
        <v>1320.0000000000002</v>
      </c>
      <c r="V26" s="72">
        <f>S26*U26/1000</f>
        <v>583.94820000000004</v>
      </c>
      <c r="W26" s="72">
        <f>P26*U26/1000</f>
        <v>70.059000000000012</v>
      </c>
      <c r="X26" s="72">
        <v>3.08</v>
      </c>
      <c r="Y26" s="72">
        <v>30.000000000000004</v>
      </c>
      <c r="Z26" s="73">
        <v>17.142857142857142</v>
      </c>
      <c r="AA26" s="73">
        <v>77.142857142857153</v>
      </c>
      <c r="AB26" s="73">
        <v>4.2857142857142856</v>
      </c>
      <c r="AC26" s="72"/>
      <c r="AD26" s="72">
        <f>$N26*1000*$X26*0.01*$S26*0.001</f>
        <v>583.94820000000004</v>
      </c>
      <c r="AE26" s="72">
        <f>$N26*1000*$X26*0.01*$P26*0.001</f>
        <v>70.059000000000012</v>
      </c>
      <c r="AF26" s="72"/>
      <c r="AG26" s="72"/>
      <c r="AH26" s="74"/>
      <c r="AI26" s="72"/>
      <c r="AJ26" s="72"/>
      <c r="AK26" s="72"/>
      <c r="AL26" s="72"/>
    </row>
    <row r="27" spans="1:44">
      <c r="A27" s="65">
        <v>26</v>
      </c>
      <c r="B27" s="144">
        <v>2002</v>
      </c>
      <c r="C27" s="66" t="s">
        <v>135</v>
      </c>
      <c r="D27" s="67" t="s">
        <v>105</v>
      </c>
      <c r="E27" s="67" t="s">
        <v>23</v>
      </c>
      <c r="F27" s="67" t="s">
        <v>27</v>
      </c>
      <c r="G27" s="67" t="s">
        <v>45</v>
      </c>
      <c r="H27" s="68">
        <v>37385</v>
      </c>
      <c r="I27" s="68">
        <v>37400</v>
      </c>
      <c r="J27" s="69">
        <v>2</v>
      </c>
      <c r="K27" s="70">
        <v>1.4</v>
      </c>
      <c r="L27" s="48">
        <v>12</v>
      </c>
      <c r="M27" s="48"/>
      <c r="N27" s="81">
        <v>38.095238095238095</v>
      </c>
      <c r="O27" s="82" t="s">
        <v>64</v>
      </c>
      <c r="P27" s="72"/>
      <c r="Q27" s="72"/>
      <c r="R27" s="72"/>
      <c r="S27" s="72"/>
      <c r="T27" s="72"/>
      <c r="U27" s="72"/>
      <c r="V27" s="72"/>
      <c r="W27" s="72"/>
      <c r="X27" s="72"/>
      <c r="Y27" s="72"/>
      <c r="Z27" s="72"/>
      <c r="AA27" s="72"/>
      <c r="AB27" s="72"/>
      <c r="AC27" s="72">
        <f>$N27*100</f>
        <v>3809.5238095238096</v>
      </c>
      <c r="AD27" s="72">
        <f>AC27*0.4089</f>
        <v>1557.7142857142858</v>
      </c>
      <c r="AE27" s="72">
        <f>AC27*0.0263</f>
        <v>100.19047619047619</v>
      </c>
      <c r="AF27" s="72">
        <v>15</v>
      </c>
      <c r="AG27" s="72">
        <v>1.5</v>
      </c>
      <c r="AI27" s="72"/>
      <c r="AJ27" s="72"/>
      <c r="AK27" s="72"/>
      <c r="AL27" s="72"/>
    </row>
    <row r="28" spans="1:44">
      <c r="A28" s="65">
        <v>27</v>
      </c>
      <c r="B28" s="144">
        <v>2002</v>
      </c>
      <c r="C28" s="66" t="s">
        <v>135</v>
      </c>
      <c r="D28" s="67" t="s">
        <v>105</v>
      </c>
      <c r="E28" s="67" t="s">
        <v>23</v>
      </c>
      <c r="F28" s="67" t="s">
        <v>27</v>
      </c>
      <c r="G28" s="67" t="s">
        <v>45</v>
      </c>
      <c r="H28" s="68">
        <v>37401</v>
      </c>
      <c r="I28" s="68">
        <v>37407</v>
      </c>
      <c r="J28" s="69">
        <v>2</v>
      </c>
      <c r="K28" s="70">
        <v>1.4</v>
      </c>
      <c r="L28" s="48">
        <v>2</v>
      </c>
      <c r="M28" s="48"/>
      <c r="N28" s="81">
        <v>15.873015873015873</v>
      </c>
      <c r="O28" s="82" t="s">
        <v>64</v>
      </c>
      <c r="P28" s="72"/>
      <c r="Q28" s="72"/>
      <c r="R28" s="72"/>
      <c r="S28" s="72"/>
      <c r="T28" s="72"/>
      <c r="U28" s="72"/>
      <c r="V28" s="72"/>
      <c r="W28" s="72"/>
      <c r="X28" s="72"/>
      <c r="Y28" s="72"/>
      <c r="Z28" s="72"/>
      <c r="AA28" s="72"/>
      <c r="AB28" s="72"/>
      <c r="AC28" s="72">
        <f>$N28*100</f>
        <v>1587.3015873015875</v>
      </c>
      <c r="AD28" s="72">
        <f>AC28*0.4089</f>
        <v>649.04761904761904</v>
      </c>
      <c r="AE28" s="72">
        <f>AC28*0.0263</f>
        <v>41.746031746031754</v>
      </c>
      <c r="AF28" s="72">
        <v>6</v>
      </c>
      <c r="AG28" s="72">
        <v>1.5</v>
      </c>
      <c r="AI28" s="72"/>
      <c r="AJ28" s="72"/>
      <c r="AK28" s="72"/>
      <c r="AL28" s="72"/>
    </row>
    <row r="29" spans="1:44">
      <c r="A29" s="65">
        <v>28</v>
      </c>
      <c r="B29" s="144">
        <v>2002</v>
      </c>
      <c r="C29" s="66" t="s">
        <v>135</v>
      </c>
      <c r="D29" s="67" t="s">
        <v>105</v>
      </c>
      <c r="E29" s="67" t="s">
        <v>23</v>
      </c>
      <c r="F29" s="67" t="s">
        <v>27</v>
      </c>
      <c r="G29" s="67" t="s">
        <v>42</v>
      </c>
      <c r="H29" s="68">
        <v>37403</v>
      </c>
      <c r="I29" s="68">
        <v>37406</v>
      </c>
      <c r="J29" s="69">
        <v>2</v>
      </c>
      <c r="K29" s="70">
        <v>1.4</v>
      </c>
      <c r="L29" s="48">
        <v>7.6</v>
      </c>
      <c r="M29" s="48"/>
      <c r="N29" s="81">
        <v>15.079365079365081</v>
      </c>
      <c r="O29" s="82" t="s">
        <v>64</v>
      </c>
      <c r="P29" s="72"/>
      <c r="Q29" s="72"/>
      <c r="R29" s="72"/>
      <c r="S29" s="72"/>
      <c r="T29" s="72"/>
      <c r="U29" s="72"/>
      <c r="V29" s="72"/>
      <c r="W29" s="72"/>
      <c r="X29" s="72"/>
      <c r="Y29" s="72"/>
      <c r="Z29" s="72"/>
      <c r="AA29" s="72"/>
      <c r="AB29" s="72"/>
      <c r="AC29" s="72">
        <f>$N29*100</f>
        <v>1507.9365079365082</v>
      </c>
      <c r="AD29" s="72">
        <f>AC29*0.4089</f>
        <v>616.59523809523819</v>
      </c>
      <c r="AE29" s="72">
        <f>AC29*0.0263</f>
        <v>39.658730158730165</v>
      </c>
      <c r="AF29" s="72">
        <v>3</v>
      </c>
      <c r="AG29" s="72">
        <v>12</v>
      </c>
      <c r="AI29" s="72"/>
      <c r="AJ29" s="72"/>
      <c r="AK29" s="72"/>
      <c r="AL29" s="72"/>
    </row>
    <row r="30" spans="1:44">
      <c r="A30" s="65">
        <v>29</v>
      </c>
      <c r="B30" s="144">
        <v>2002</v>
      </c>
      <c r="C30" s="66" t="s">
        <v>135</v>
      </c>
      <c r="D30" s="67" t="s">
        <v>105</v>
      </c>
      <c r="E30" s="67" t="s">
        <v>23</v>
      </c>
      <c r="F30" s="67" t="s">
        <v>33</v>
      </c>
      <c r="G30" s="67" t="s">
        <v>34</v>
      </c>
      <c r="H30" s="68">
        <v>37420</v>
      </c>
      <c r="I30" s="68">
        <v>37421</v>
      </c>
      <c r="J30" s="69">
        <v>3</v>
      </c>
      <c r="K30" s="70">
        <v>1.4</v>
      </c>
      <c r="L30" s="48">
        <v>7.5</v>
      </c>
      <c r="M30" s="48"/>
      <c r="N30" s="71">
        <f t="shared" ref="N30:N38" si="0">IF(L30/K30&gt;0, L30/K30,"")</f>
        <v>5.3571428571428577</v>
      </c>
      <c r="O30" s="48" t="s">
        <v>70</v>
      </c>
      <c r="P30" s="72"/>
      <c r="Q30" s="72"/>
      <c r="R30" s="72"/>
      <c r="S30" s="72"/>
      <c r="T30" s="72"/>
      <c r="U30" s="72"/>
      <c r="V30" s="72"/>
      <c r="W30" s="72"/>
      <c r="X30" s="72">
        <v>37</v>
      </c>
      <c r="Y30" s="72"/>
      <c r="Z30" s="72"/>
      <c r="AA30" s="72"/>
      <c r="AB30" s="72"/>
      <c r="AC30" s="72">
        <f>$N30*100</f>
        <v>535.71428571428578</v>
      </c>
      <c r="AD30" s="72">
        <f>AC30*0.4089</f>
        <v>219.05357142857144</v>
      </c>
      <c r="AE30" s="72">
        <f>AC30*0.0263</f>
        <v>14.089285714285717</v>
      </c>
      <c r="AF30" s="72"/>
      <c r="AG30" s="72"/>
      <c r="AI30" s="72"/>
      <c r="AJ30" s="72"/>
      <c r="AK30" s="72"/>
      <c r="AL30" s="72"/>
    </row>
    <row r="31" spans="1:44">
      <c r="A31" s="65">
        <v>30</v>
      </c>
      <c r="B31" s="144">
        <v>2002</v>
      </c>
      <c r="C31" s="66" t="s">
        <v>135</v>
      </c>
      <c r="D31" s="67" t="s">
        <v>105</v>
      </c>
      <c r="E31" s="67" t="s">
        <v>15</v>
      </c>
      <c r="F31" s="67" t="s">
        <v>32</v>
      </c>
      <c r="G31" s="78" t="s">
        <v>19</v>
      </c>
      <c r="H31" s="68">
        <v>37427</v>
      </c>
      <c r="I31" s="68"/>
      <c r="K31" s="70">
        <v>1.4</v>
      </c>
      <c r="L31" s="48">
        <v>80</v>
      </c>
      <c r="M31" s="48"/>
      <c r="N31" s="71">
        <f t="shared" si="0"/>
        <v>57.142857142857146</v>
      </c>
      <c r="O31" s="48" t="s">
        <v>3</v>
      </c>
      <c r="P31" s="72">
        <v>270</v>
      </c>
      <c r="Q31" s="72">
        <v>135</v>
      </c>
      <c r="R31" s="72">
        <v>135</v>
      </c>
      <c r="S31" s="72">
        <v>0</v>
      </c>
      <c r="T31" s="72">
        <v>0</v>
      </c>
      <c r="U31" s="72">
        <f>N31</f>
        <v>57.142857142857146</v>
      </c>
      <c r="V31" s="72">
        <f>S31*U31/1000</f>
        <v>0</v>
      </c>
      <c r="W31" s="72">
        <f>U31*P31/1000</f>
        <v>15.428571428571429</v>
      </c>
      <c r="X31" s="72">
        <v>100</v>
      </c>
      <c r="Y31" s="72">
        <v>15.428571428571431</v>
      </c>
      <c r="Z31" s="72">
        <v>0</v>
      </c>
      <c r="AA31" s="72">
        <v>0</v>
      </c>
      <c r="AB31" s="72">
        <v>0</v>
      </c>
      <c r="AC31" s="72"/>
      <c r="AD31" s="72">
        <f>$N31*1000*$X31*0.01*$S31*0.001</f>
        <v>0</v>
      </c>
      <c r="AE31" s="72">
        <f>$N31*$X31*0.01*$P31*0.001</f>
        <v>15.428571428571429</v>
      </c>
      <c r="AF31" s="72"/>
      <c r="AG31" s="72"/>
      <c r="AH31" s="74"/>
      <c r="AI31" s="72"/>
      <c r="AJ31" s="72"/>
      <c r="AK31" s="72"/>
      <c r="AL31" s="72"/>
    </row>
    <row r="32" spans="1:44">
      <c r="A32" s="65">
        <v>31</v>
      </c>
      <c r="B32" s="144">
        <v>2002</v>
      </c>
      <c r="C32" s="66" t="s">
        <v>135</v>
      </c>
      <c r="D32" s="67" t="s">
        <v>105</v>
      </c>
      <c r="E32" s="67" t="s">
        <v>23</v>
      </c>
      <c r="F32" s="67" t="s">
        <v>33</v>
      </c>
      <c r="G32" s="67" t="s">
        <v>34</v>
      </c>
      <c r="H32" s="68">
        <v>37448</v>
      </c>
      <c r="I32" s="68">
        <v>37449</v>
      </c>
      <c r="J32" s="69">
        <v>3</v>
      </c>
      <c r="K32" s="70">
        <v>1.4</v>
      </c>
      <c r="L32" s="48">
        <v>15</v>
      </c>
      <c r="M32" s="48"/>
      <c r="N32" s="71">
        <f t="shared" si="0"/>
        <v>10.714285714285715</v>
      </c>
      <c r="O32" s="48" t="s">
        <v>70</v>
      </c>
      <c r="P32" s="72"/>
      <c r="Q32" s="72"/>
      <c r="R32" s="72"/>
      <c r="S32" s="72"/>
      <c r="T32" s="72"/>
      <c r="U32" s="72"/>
      <c r="V32" s="72"/>
      <c r="W32" s="72"/>
      <c r="X32" s="72">
        <v>37</v>
      </c>
      <c r="Y32" s="72"/>
      <c r="Z32" s="72"/>
      <c r="AA32" s="72"/>
      <c r="AB32" s="72"/>
      <c r="AC32" s="72">
        <f>$N32*100</f>
        <v>1071.4285714285716</v>
      </c>
      <c r="AD32" s="72">
        <f>AC32*0.4089</f>
        <v>438.10714285714289</v>
      </c>
      <c r="AE32" s="72">
        <f>AC32*0.0263</f>
        <v>28.178571428571434</v>
      </c>
      <c r="AF32" s="72"/>
      <c r="AG32" s="72"/>
      <c r="AI32" s="72"/>
      <c r="AJ32" s="72"/>
      <c r="AK32" s="72"/>
      <c r="AL32" s="72"/>
    </row>
    <row r="33" spans="1:38">
      <c r="A33" s="65">
        <v>32</v>
      </c>
      <c r="B33" s="144">
        <v>2002</v>
      </c>
      <c r="C33" s="66" t="s">
        <v>135</v>
      </c>
      <c r="D33" s="67" t="s">
        <v>105</v>
      </c>
      <c r="E33" s="67" t="s">
        <v>23</v>
      </c>
      <c r="F33" s="67" t="s">
        <v>33</v>
      </c>
      <c r="G33" s="67" t="s">
        <v>34</v>
      </c>
      <c r="H33" s="68">
        <v>37484</v>
      </c>
      <c r="I33" s="68">
        <v>37485</v>
      </c>
      <c r="J33" s="69">
        <v>4</v>
      </c>
      <c r="K33" s="70">
        <v>1.4</v>
      </c>
      <c r="L33" s="48">
        <v>37.5</v>
      </c>
      <c r="M33" s="48"/>
      <c r="N33" s="71">
        <f t="shared" si="0"/>
        <v>26.785714285714288</v>
      </c>
      <c r="O33" s="48" t="s">
        <v>70</v>
      </c>
      <c r="P33" s="72"/>
      <c r="Q33" s="72"/>
      <c r="R33" s="72"/>
      <c r="S33" s="72"/>
      <c r="T33" s="72"/>
      <c r="U33" s="72"/>
      <c r="V33" s="72"/>
      <c r="W33" s="72"/>
      <c r="X33" s="72">
        <v>37</v>
      </c>
      <c r="Y33" s="72"/>
      <c r="Z33" s="72"/>
      <c r="AA33" s="72"/>
      <c r="AB33" s="72"/>
      <c r="AC33" s="72">
        <f>$N33*100</f>
        <v>2678.5714285714289</v>
      </c>
      <c r="AD33" s="72">
        <f>AC33*0.4089</f>
        <v>1095.2678571428573</v>
      </c>
      <c r="AE33" s="72">
        <f>AC33*0.0263</f>
        <v>70.446428571428584</v>
      </c>
      <c r="AF33" s="72"/>
      <c r="AG33" s="72"/>
      <c r="AI33" s="72"/>
      <c r="AJ33" s="72"/>
      <c r="AK33" s="72"/>
      <c r="AL33" s="72"/>
    </row>
    <row r="34" spans="1:38">
      <c r="A34" s="65">
        <v>33</v>
      </c>
      <c r="B34" s="144">
        <v>2002</v>
      </c>
      <c r="C34" s="66" t="s">
        <v>135</v>
      </c>
      <c r="D34" s="67" t="s">
        <v>105</v>
      </c>
      <c r="E34" s="67" t="s">
        <v>15</v>
      </c>
      <c r="F34" s="67" t="s">
        <v>35</v>
      </c>
      <c r="G34" s="67" t="s">
        <v>46</v>
      </c>
      <c r="H34" s="68">
        <v>37488</v>
      </c>
      <c r="I34" s="68"/>
      <c r="K34" s="70">
        <v>1.4</v>
      </c>
      <c r="L34" s="48">
        <v>80</v>
      </c>
      <c r="M34" s="48"/>
      <c r="N34" s="71">
        <f t="shared" si="0"/>
        <v>57.142857142857146</v>
      </c>
      <c r="O34" s="48" t="s">
        <v>5</v>
      </c>
      <c r="P34" s="72">
        <v>53.075000000000003</v>
      </c>
      <c r="Q34" s="72">
        <v>23.815000000000001</v>
      </c>
      <c r="R34" s="72">
        <v>0.5</v>
      </c>
      <c r="S34" s="72">
        <v>442.38499999999999</v>
      </c>
      <c r="T34" s="73">
        <v>9.36</v>
      </c>
      <c r="U34" s="72">
        <f>N34*1000*X34/100</f>
        <v>1760</v>
      </c>
      <c r="V34" s="72">
        <f>S34*U34/1000</f>
        <v>778.59759999999994</v>
      </c>
      <c r="W34" s="72">
        <f>P34*U34/1000</f>
        <v>93.412000000000006</v>
      </c>
      <c r="X34" s="72">
        <v>3.08</v>
      </c>
      <c r="Y34" s="72">
        <v>40</v>
      </c>
      <c r="Z34" s="73">
        <v>22.857142857142858</v>
      </c>
      <c r="AA34" s="73">
        <v>102.85714285714286</v>
      </c>
      <c r="AB34" s="73">
        <v>5.7142857142857144</v>
      </c>
      <c r="AC34" s="72"/>
      <c r="AD34" s="72">
        <f>$N34*1000*$X34*0.01*$S34*0.001</f>
        <v>778.59759999999994</v>
      </c>
      <c r="AE34" s="72">
        <f>$N34*1000*$X34*0.01*$P34*0.001</f>
        <v>93.412000000000006</v>
      </c>
      <c r="AF34" s="72"/>
      <c r="AG34" s="72"/>
      <c r="AH34" s="74"/>
      <c r="AI34" s="72"/>
      <c r="AJ34" s="72"/>
      <c r="AK34" s="72"/>
      <c r="AL34" s="72"/>
    </row>
    <row r="35" spans="1:38">
      <c r="A35" s="65">
        <v>34</v>
      </c>
      <c r="B35" s="144">
        <v>2002</v>
      </c>
      <c r="C35" s="66" t="s">
        <v>135</v>
      </c>
      <c r="D35" s="67" t="s">
        <v>105</v>
      </c>
      <c r="E35" s="67" t="s">
        <v>23</v>
      </c>
      <c r="F35" s="67" t="s">
        <v>33</v>
      </c>
      <c r="G35" s="67" t="s">
        <v>34</v>
      </c>
      <c r="H35" s="68">
        <v>37530</v>
      </c>
      <c r="I35" s="68">
        <v>37531</v>
      </c>
      <c r="J35" s="69">
        <v>5</v>
      </c>
      <c r="K35" s="70">
        <v>1.4</v>
      </c>
      <c r="L35" s="48">
        <v>9</v>
      </c>
      <c r="M35" s="48"/>
      <c r="N35" s="71">
        <f t="shared" si="0"/>
        <v>6.4285714285714288</v>
      </c>
      <c r="O35" s="83" t="s">
        <v>68</v>
      </c>
      <c r="P35" s="72"/>
      <c r="Q35" s="72"/>
      <c r="R35" s="72"/>
      <c r="S35" s="72"/>
      <c r="T35" s="72"/>
      <c r="U35" s="72"/>
      <c r="V35" s="72"/>
      <c r="W35" s="72"/>
      <c r="X35" s="72">
        <v>37</v>
      </c>
      <c r="Y35" s="72"/>
      <c r="Z35" s="72"/>
      <c r="AA35" s="72"/>
      <c r="AB35" s="72"/>
      <c r="AC35" s="72">
        <f>N35*AG35*X35*0.01</f>
        <v>1462.8214285714287</v>
      </c>
      <c r="AD35" s="72">
        <f>AC35*0.4089</f>
        <v>598.14768214285721</v>
      </c>
      <c r="AE35" s="72">
        <f>AC35*0.0263</f>
        <v>38.472203571428572</v>
      </c>
      <c r="AF35" s="72"/>
      <c r="AG35" s="72">
        <v>615</v>
      </c>
      <c r="AI35" s="72"/>
      <c r="AJ35" s="72"/>
      <c r="AK35" s="72"/>
      <c r="AL35" s="72"/>
    </row>
    <row r="36" spans="1:38">
      <c r="A36" s="65">
        <v>35</v>
      </c>
      <c r="B36" s="144">
        <v>2002</v>
      </c>
      <c r="C36" s="66" t="s">
        <v>135</v>
      </c>
      <c r="D36" s="67" t="s">
        <v>105</v>
      </c>
      <c r="E36" s="67" t="s">
        <v>15</v>
      </c>
      <c r="F36" s="67" t="s">
        <v>35</v>
      </c>
      <c r="G36" s="67" t="s">
        <v>46</v>
      </c>
      <c r="H36" s="68">
        <v>37533</v>
      </c>
      <c r="I36" s="68"/>
      <c r="K36" s="70">
        <v>1.4</v>
      </c>
      <c r="L36" s="48">
        <v>64</v>
      </c>
      <c r="M36" s="48"/>
      <c r="N36" s="71">
        <f t="shared" si="0"/>
        <v>45.714285714285715</v>
      </c>
      <c r="O36" s="48" t="s">
        <v>5</v>
      </c>
      <c r="P36" s="72">
        <v>53.075000000000003</v>
      </c>
      <c r="Q36" s="72">
        <v>23.815000000000001</v>
      </c>
      <c r="R36" s="72">
        <v>0.5</v>
      </c>
      <c r="S36" s="72">
        <v>442.38499999999999</v>
      </c>
      <c r="T36" s="73">
        <v>9.36</v>
      </c>
      <c r="U36" s="72">
        <f>N36*1000*X36/100</f>
        <v>1408</v>
      </c>
      <c r="V36" s="72">
        <f>S36*U36/1000</f>
        <v>622.87807999999995</v>
      </c>
      <c r="W36" s="72">
        <f>P36*U36/1000</f>
        <v>74.729600000000005</v>
      </c>
      <c r="X36" s="72">
        <v>3.08</v>
      </c>
      <c r="Y36" s="72">
        <v>32</v>
      </c>
      <c r="Z36" s="73">
        <v>18.285714285714288</v>
      </c>
      <c r="AA36" s="73">
        <v>82.285714285714292</v>
      </c>
      <c r="AB36" s="73">
        <v>4.5714285714285721</v>
      </c>
      <c r="AC36" s="72"/>
      <c r="AD36" s="72">
        <f>$N36*1000*$X36*0.01*$S36*0.001</f>
        <v>622.87807999999995</v>
      </c>
      <c r="AE36" s="72">
        <f>$N36*1000*$X36*0.01*$P36*0.001</f>
        <v>74.729600000000005</v>
      </c>
      <c r="AF36" s="72"/>
      <c r="AG36" s="72"/>
      <c r="AH36" s="74"/>
      <c r="AI36" s="72"/>
      <c r="AJ36" s="72"/>
      <c r="AK36" s="72"/>
      <c r="AL36" s="72"/>
    </row>
    <row r="37" spans="1:38">
      <c r="A37" s="65">
        <v>36</v>
      </c>
      <c r="B37" s="144">
        <v>2002</v>
      </c>
      <c r="C37" s="66" t="s">
        <v>135</v>
      </c>
      <c r="D37" s="67" t="s">
        <v>105</v>
      </c>
      <c r="E37" s="67" t="s">
        <v>15</v>
      </c>
      <c r="F37" s="67" t="s">
        <v>35</v>
      </c>
      <c r="G37" s="67" t="s">
        <v>46</v>
      </c>
      <c r="H37" s="68">
        <v>37581</v>
      </c>
      <c r="I37" s="68"/>
      <c r="K37" s="70">
        <v>1.4</v>
      </c>
      <c r="L37" s="48">
        <v>86</v>
      </c>
      <c r="M37" s="48"/>
      <c r="N37" s="71">
        <f t="shared" si="0"/>
        <v>61.428571428571431</v>
      </c>
      <c r="O37" s="48" t="s">
        <v>5</v>
      </c>
      <c r="P37" s="72">
        <v>53.075000000000003</v>
      </c>
      <c r="Q37" s="72">
        <v>23.815000000000001</v>
      </c>
      <c r="R37" s="72">
        <v>0.5</v>
      </c>
      <c r="S37" s="72">
        <v>442.38499999999999</v>
      </c>
      <c r="T37" s="73">
        <v>9.36</v>
      </c>
      <c r="U37" s="72">
        <f>N37*1000*X37/100</f>
        <v>1892</v>
      </c>
      <c r="V37" s="72">
        <f>S37*U37/1000</f>
        <v>836.99241999999992</v>
      </c>
      <c r="W37" s="72">
        <f>P37*U37/1000</f>
        <v>100.4179</v>
      </c>
      <c r="X37" s="72">
        <v>3.08</v>
      </c>
      <c r="Y37" s="72">
        <v>43</v>
      </c>
      <c r="Z37" s="73">
        <v>24.571428571428573</v>
      </c>
      <c r="AA37" s="73">
        <v>110.57142857142858</v>
      </c>
      <c r="AB37" s="73">
        <v>6.1428571428571432</v>
      </c>
      <c r="AC37" s="72"/>
      <c r="AD37" s="72">
        <f>$N37*1000*$X37*0.01*$S37*0.001</f>
        <v>836.99241999999992</v>
      </c>
      <c r="AE37" s="72">
        <f>$N37*1000*$X37*0.01*$P37*0.001</f>
        <v>100.41790000000002</v>
      </c>
      <c r="AF37" s="72"/>
      <c r="AG37" s="72"/>
      <c r="AH37" s="74"/>
      <c r="AI37" s="72"/>
      <c r="AJ37" s="72"/>
      <c r="AK37" s="72"/>
      <c r="AL37" s="72"/>
    </row>
    <row r="38" spans="1:38">
      <c r="A38" s="65">
        <v>37</v>
      </c>
      <c r="B38" s="144">
        <v>2002</v>
      </c>
      <c r="C38" s="79" t="s">
        <v>136</v>
      </c>
      <c r="D38" s="67" t="s">
        <v>105</v>
      </c>
      <c r="E38" s="67" t="s">
        <v>15</v>
      </c>
      <c r="F38" s="67" t="s">
        <v>35</v>
      </c>
      <c r="G38" s="75" t="s">
        <v>46</v>
      </c>
      <c r="H38" s="68">
        <v>37323</v>
      </c>
      <c r="I38" s="68"/>
      <c r="K38" s="70">
        <v>1.86</v>
      </c>
      <c r="L38" s="48">
        <v>61</v>
      </c>
      <c r="M38" s="48"/>
      <c r="N38" s="71">
        <f t="shared" si="0"/>
        <v>32.795698924731184</v>
      </c>
      <c r="O38" s="48" t="s">
        <v>5</v>
      </c>
      <c r="P38" s="72">
        <v>53.075000000000003</v>
      </c>
      <c r="Q38" s="72">
        <v>23.815000000000001</v>
      </c>
      <c r="R38" s="76">
        <v>0.5</v>
      </c>
      <c r="S38" s="72">
        <v>442.38499999999999</v>
      </c>
      <c r="T38" s="73">
        <v>9.36</v>
      </c>
      <c r="U38" s="72">
        <f>N38*1000*X38/100</f>
        <v>1010.1075268817206</v>
      </c>
      <c r="V38" s="72">
        <f>S38*U38/1000</f>
        <v>446.85641827956994</v>
      </c>
      <c r="W38" s="72">
        <f>P38*U38/1000</f>
        <v>53.611456989247323</v>
      </c>
      <c r="X38" s="72">
        <v>3.08</v>
      </c>
      <c r="Y38" s="72">
        <v>22.956989247311828</v>
      </c>
      <c r="Z38" s="73">
        <v>13.118279569892476</v>
      </c>
      <c r="AA38" s="73">
        <v>59.032258064516128</v>
      </c>
      <c r="AB38" s="73">
        <v>3.2795698924731189</v>
      </c>
      <c r="AC38" s="72"/>
      <c r="AD38" s="72">
        <f>$N38*1000*$X38*0.01*$S38*0.001</f>
        <v>446.85641827956994</v>
      </c>
      <c r="AE38" s="72">
        <f>$N38*1000*$X38*0.01*$P38*0.001</f>
        <v>53.611456989247323</v>
      </c>
      <c r="AF38" s="72"/>
      <c r="AG38" s="72"/>
      <c r="AH38" s="74"/>
      <c r="AI38" s="72"/>
      <c r="AJ38" s="72"/>
      <c r="AK38" s="72"/>
      <c r="AL38" s="72"/>
    </row>
    <row r="39" spans="1:38">
      <c r="A39" s="65">
        <v>38</v>
      </c>
      <c r="B39" s="144">
        <v>2002</v>
      </c>
      <c r="C39" s="79" t="s">
        <v>136</v>
      </c>
      <c r="D39" s="67" t="s">
        <v>105</v>
      </c>
      <c r="E39" s="67" t="s">
        <v>24</v>
      </c>
      <c r="F39" s="67" t="s">
        <v>28</v>
      </c>
      <c r="G39" s="77" t="s">
        <v>124</v>
      </c>
      <c r="H39" s="68">
        <v>37336</v>
      </c>
      <c r="I39" s="68"/>
      <c r="K39" s="70">
        <v>1.86</v>
      </c>
      <c r="L39" s="72"/>
      <c r="M39" s="72"/>
      <c r="N39" s="72"/>
      <c r="P39" s="72"/>
      <c r="Q39" s="72"/>
      <c r="R39" s="72"/>
      <c r="S39" s="72"/>
      <c r="T39" s="72"/>
      <c r="U39" s="72"/>
      <c r="V39" s="72"/>
      <c r="W39" s="72"/>
      <c r="X39" s="72"/>
      <c r="Y39" s="72"/>
      <c r="Z39" s="72"/>
      <c r="AA39" s="72"/>
      <c r="AB39" s="72"/>
      <c r="AC39" s="72"/>
      <c r="AD39" s="72"/>
      <c r="AE39" s="72"/>
      <c r="AF39" s="72"/>
      <c r="AG39" s="72"/>
      <c r="AH39" s="74"/>
      <c r="AI39" s="72"/>
      <c r="AJ39" s="72"/>
      <c r="AK39" s="72"/>
      <c r="AL39" s="72"/>
    </row>
    <row r="40" spans="1:38">
      <c r="A40" s="65">
        <v>39</v>
      </c>
      <c r="B40" s="144">
        <v>2002</v>
      </c>
      <c r="C40" s="79" t="s">
        <v>136</v>
      </c>
      <c r="D40" s="67" t="s">
        <v>105</v>
      </c>
      <c r="E40" s="67" t="s">
        <v>21</v>
      </c>
      <c r="F40" s="67" t="s">
        <v>36</v>
      </c>
      <c r="G40" s="67" t="s">
        <v>47</v>
      </c>
      <c r="H40" s="68">
        <v>37336</v>
      </c>
      <c r="I40" s="68"/>
      <c r="K40" s="70">
        <v>1.86</v>
      </c>
      <c r="L40" s="48">
        <v>46</v>
      </c>
      <c r="M40" s="48"/>
      <c r="N40" s="71">
        <f t="shared" ref="N40:N53" si="1">IF(L40/K40&gt;0, L40/K40,"")</f>
        <v>24.731182795698924</v>
      </c>
      <c r="O40" s="48" t="s">
        <v>3</v>
      </c>
      <c r="P40" s="72"/>
      <c r="Q40" s="72"/>
      <c r="R40" s="72"/>
      <c r="S40" s="72"/>
      <c r="T40" s="72"/>
      <c r="U40" s="72"/>
      <c r="V40" s="72"/>
      <c r="W40" s="72"/>
      <c r="X40" s="72"/>
      <c r="Y40" s="72"/>
      <c r="Z40" s="72"/>
      <c r="AA40" s="72"/>
      <c r="AB40" s="72"/>
      <c r="AC40" s="72"/>
      <c r="AD40" s="72"/>
      <c r="AE40" s="72"/>
      <c r="AF40" s="72"/>
      <c r="AG40" s="72"/>
      <c r="AH40" s="74"/>
      <c r="AI40" s="72"/>
      <c r="AJ40" s="72"/>
      <c r="AK40" s="72"/>
      <c r="AL40" s="72"/>
    </row>
    <row r="41" spans="1:38">
      <c r="A41" s="65">
        <v>40</v>
      </c>
      <c r="B41" s="144">
        <v>2002</v>
      </c>
      <c r="C41" s="79" t="s">
        <v>136</v>
      </c>
      <c r="D41" s="67" t="s">
        <v>105</v>
      </c>
      <c r="E41" s="67" t="s">
        <v>23</v>
      </c>
      <c r="F41" s="67" t="s">
        <v>33</v>
      </c>
      <c r="G41" s="75" t="s">
        <v>34</v>
      </c>
      <c r="H41" s="68">
        <v>37391</v>
      </c>
      <c r="I41" s="68">
        <v>37392</v>
      </c>
      <c r="J41" s="69">
        <v>1</v>
      </c>
      <c r="K41" s="70">
        <v>1.86</v>
      </c>
      <c r="L41" s="48">
        <v>22.5</v>
      </c>
      <c r="M41" s="48"/>
      <c r="N41" s="71">
        <f t="shared" si="1"/>
        <v>12.096774193548386</v>
      </c>
      <c r="O41" s="48" t="s">
        <v>70</v>
      </c>
      <c r="P41" s="72"/>
      <c r="Q41" s="72"/>
      <c r="R41" s="72"/>
      <c r="S41" s="72"/>
      <c r="T41" s="72"/>
      <c r="U41" s="72"/>
      <c r="V41" s="72"/>
      <c r="W41" s="72"/>
      <c r="X41" s="72">
        <v>37</v>
      </c>
      <c r="Y41" s="72"/>
      <c r="Z41" s="72"/>
      <c r="AA41" s="72"/>
      <c r="AB41" s="72"/>
      <c r="AC41" s="72">
        <f>$N41*100</f>
        <v>1209.6774193548385</v>
      </c>
      <c r="AD41" s="72">
        <f>$AC41*0.4089</f>
        <v>494.63709677419348</v>
      </c>
      <c r="AE41" s="72">
        <f>$AC41*0.0263</f>
        <v>31.814516129032253</v>
      </c>
      <c r="AF41" s="72"/>
      <c r="AG41" s="72"/>
      <c r="AI41" s="72"/>
      <c r="AJ41" s="72"/>
      <c r="AK41" s="72"/>
      <c r="AL41" s="72"/>
    </row>
    <row r="42" spans="1:38">
      <c r="A42" s="65">
        <v>41</v>
      </c>
      <c r="B42" s="144">
        <v>2002</v>
      </c>
      <c r="C42" s="79" t="s">
        <v>136</v>
      </c>
      <c r="D42" s="67" t="s">
        <v>105</v>
      </c>
      <c r="E42" s="67" t="s">
        <v>23</v>
      </c>
      <c r="F42" s="67" t="s">
        <v>33</v>
      </c>
      <c r="G42" s="67" t="s">
        <v>34</v>
      </c>
      <c r="H42" s="68">
        <v>37397</v>
      </c>
      <c r="I42" s="68">
        <v>37398</v>
      </c>
      <c r="J42" s="69">
        <v>1</v>
      </c>
      <c r="K42" s="70">
        <v>1.86</v>
      </c>
      <c r="L42" s="48">
        <v>30</v>
      </c>
      <c r="M42" s="48"/>
      <c r="N42" s="71">
        <f t="shared" si="1"/>
        <v>16.129032258064516</v>
      </c>
      <c r="O42" s="48" t="s">
        <v>70</v>
      </c>
      <c r="P42" s="72"/>
      <c r="Q42" s="72"/>
      <c r="R42" s="72"/>
      <c r="S42" s="72"/>
      <c r="T42" s="72"/>
      <c r="U42" s="72"/>
      <c r="V42" s="72"/>
      <c r="W42" s="72"/>
      <c r="X42" s="72">
        <v>37</v>
      </c>
      <c r="Y42" s="72"/>
      <c r="Z42" s="72"/>
      <c r="AA42" s="72"/>
      <c r="AB42" s="72"/>
      <c r="AC42" s="72">
        <f>$N42*100</f>
        <v>1612.9032258064517</v>
      </c>
      <c r="AD42" s="72">
        <f>$AC42*0.4089</f>
        <v>659.51612903225805</v>
      </c>
      <c r="AE42" s="72">
        <f>$AC42*0.0263</f>
        <v>42.41935483870968</v>
      </c>
      <c r="AF42" s="72"/>
      <c r="AG42" s="72"/>
      <c r="AI42" s="72"/>
      <c r="AJ42" s="72"/>
      <c r="AK42" s="72"/>
      <c r="AL42" s="72"/>
    </row>
    <row r="43" spans="1:38">
      <c r="A43" s="65">
        <v>42</v>
      </c>
      <c r="B43" s="144">
        <v>2002</v>
      </c>
      <c r="C43" s="79" t="s">
        <v>136</v>
      </c>
      <c r="D43" s="67" t="s">
        <v>105</v>
      </c>
      <c r="E43" s="67" t="s">
        <v>23</v>
      </c>
      <c r="F43" s="67" t="s">
        <v>33</v>
      </c>
      <c r="G43" s="78" t="s">
        <v>41</v>
      </c>
      <c r="H43" s="68">
        <v>37424</v>
      </c>
      <c r="I43" s="68">
        <v>37426</v>
      </c>
      <c r="J43" s="69">
        <v>2</v>
      </c>
      <c r="K43" s="70">
        <v>1.86</v>
      </c>
      <c r="L43" s="48">
        <v>12</v>
      </c>
      <c r="M43" s="48"/>
      <c r="N43" s="71">
        <f t="shared" si="1"/>
        <v>6.4516129032258061</v>
      </c>
      <c r="O43" s="48" t="s">
        <v>70</v>
      </c>
      <c r="P43" s="72"/>
      <c r="Q43" s="72"/>
      <c r="R43" s="72"/>
      <c r="S43" s="72"/>
      <c r="T43" s="72"/>
      <c r="U43" s="72"/>
      <c r="V43" s="72"/>
      <c r="W43" s="72"/>
      <c r="X43" s="72">
        <v>70</v>
      </c>
      <c r="Y43" s="72"/>
      <c r="Z43" s="72"/>
      <c r="AA43" s="72"/>
      <c r="AB43" s="72"/>
      <c r="AC43" s="72">
        <f>$N43*100</f>
        <v>645.16129032258061</v>
      </c>
      <c r="AD43" s="72">
        <f>$AC43*0.4089</f>
        <v>263.80645161290323</v>
      </c>
      <c r="AE43" s="72">
        <f>$AC43*0.0263</f>
        <v>16.967741935483872</v>
      </c>
      <c r="AF43" s="72"/>
      <c r="AG43" s="72"/>
      <c r="AI43" s="72"/>
      <c r="AJ43" s="72"/>
      <c r="AK43" s="72"/>
      <c r="AL43" s="72"/>
    </row>
    <row r="44" spans="1:38">
      <c r="A44" s="65">
        <v>43</v>
      </c>
      <c r="B44" s="144">
        <v>2002</v>
      </c>
      <c r="C44" s="79" t="s">
        <v>136</v>
      </c>
      <c r="D44" s="67" t="s">
        <v>105</v>
      </c>
      <c r="E44" s="67" t="s">
        <v>15</v>
      </c>
      <c r="F44" s="67" t="s">
        <v>32</v>
      </c>
      <c r="G44" s="78" t="s">
        <v>19</v>
      </c>
      <c r="H44" s="68">
        <v>37427</v>
      </c>
      <c r="I44" s="68"/>
      <c r="K44" s="70">
        <v>1.86</v>
      </c>
      <c r="L44" s="48">
        <v>100</v>
      </c>
      <c r="M44" s="48"/>
      <c r="N44" s="71">
        <f t="shared" si="1"/>
        <v>53.763440860215049</v>
      </c>
      <c r="O44" s="48" t="s">
        <v>3</v>
      </c>
      <c r="P44" s="72">
        <v>270</v>
      </c>
      <c r="Q44" s="72">
        <v>135</v>
      </c>
      <c r="R44" s="72">
        <v>135</v>
      </c>
      <c r="S44" s="72">
        <v>0</v>
      </c>
      <c r="T44" s="72">
        <v>0</v>
      </c>
      <c r="U44" s="72">
        <f>N44</f>
        <v>53.763440860215049</v>
      </c>
      <c r="V44" s="72">
        <f>S44*U44/1000</f>
        <v>0</v>
      </c>
      <c r="W44" s="72">
        <f>U44*P44/1000</f>
        <v>14.516129032258062</v>
      </c>
      <c r="X44" s="72">
        <v>100</v>
      </c>
      <c r="Y44" s="72">
        <v>14.516129032258066</v>
      </c>
      <c r="Z44" s="72">
        <v>0</v>
      </c>
      <c r="AA44" s="72">
        <v>0</v>
      </c>
      <c r="AB44" s="72">
        <v>0</v>
      </c>
      <c r="AC44" s="72"/>
      <c r="AD44" s="72">
        <f>$N44*1000*$X44*0.01*$S44*0.001</f>
        <v>0</v>
      </c>
      <c r="AE44" s="72">
        <f>$N44*$X44*0.01*$P44*0.001</f>
        <v>14.516129032258062</v>
      </c>
      <c r="AF44" s="72"/>
      <c r="AG44" s="72"/>
      <c r="AH44" s="74"/>
      <c r="AI44" s="72"/>
      <c r="AJ44" s="72"/>
      <c r="AK44" s="72"/>
      <c r="AL44" s="72"/>
    </row>
    <row r="45" spans="1:38">
      <c r="A45" s="65">
        <v>44</v>
      </c>
      <c r="B45" s="144">
        <v>2002</v>
      </c>
      <c r="C45" s="79" t="s">
        <v>136</v>
      </c>
      <c r="D45" s="67" t="s">
        <v>105</v>
      </c>
      <c r="E45" s="67" t="s">
        <v>23</v>
      </c>
      <c r="F45" s="67" t="s">
        <v>33</v>
      </c>
      <c r="G45" s="67" t="s">
        <v>34</v>
      </c>
      <c r="H45" s="68">
        <v>37448</v>
      </c>
      <c r="I45" s="68">
        <v>37449</v>
      </c>
      <c r="J45" s="69">
        <v>2</v>
      </c>
      <c r="K45" s="70">
        <v>1.86</v>
      </c>
      <c r="L45" s="48">
        <v>15</v>
      </c>
      <c r="M45" s="48"/>
      <c r="N45" s="71">
        <f t="shared" si="1"/>
        <v>8.064516129032258</v>
      </c>
      <c r="O45" s="48" t="s">
        <v>70</v>
      </c>
      <c r="P45" s="72"/>
      <c r="Q45" s="72"/>
      <c r="R45" s="72"/>
      <c r="S45" s="72"/>
      <c r="T45" s="72"/>
      <c r="U45" s="72"/>
      <c r="V45" s="72"/>
      <c r="W45" s="72"/>
      <c r="X45" s="72">
        <v>37</v>
      </c>
      <c r="Y45" s="72"/>
      <c r="Z45" s="72"/>
      <c r="AA45" s="72"/>
      <c r="AB45" s="72"/>
      <c r="AC45" s="72">
        <f>$N45*100</f>
        <v>806.45161290322585</v>
      </c>
      <c r="AD45" s="72">
        <f>$AC45*0.4089</f>
        <v>329.75806451612902</v>
      </c>
      <c r="AE45" s="72">
        <f>$AC45*0.0263</f>
        <v>21.20967741935484</v>
      </c>
      <c r="AF45" s="72"/>
      <c r="AG45" s="72"/>
      <c r="AI45" s="72"/>
      <c r="AJ45" s="72"/>
      <c r="AK45" s="72"/>
      <c r="AL45" s="72"/>
    </row>
    <row r="46" spans="1:38">
      <c r="A46" s="65">
        <v>45</v>
      </c>
      <c r="B46" s="144">
        <v>2002</v>
      </c>
      <c r="C46" s="79" t="s">
        <v>136</v>
      </c>
      <c r="D46" s="67" t="s">
        <v>105</v>
      </c>
      <c r="E46" s="67" t="s">
        <v>23</v>
      </c>
      <c r="F46" s="67" t="s">
        <v>33</v>
      </c>
      <c r="G46" s="78" t="s">
        <v>41</v>
      </c>
      <c r="H46" s="68">
        <v>37459</v>
      </c>
      <c r="I46" s="68">
        <v>37460</v>
      </c>
      <c r="J46" s="69">
        <v>3</v>
      </c>
      <c r="K46" s="70">
        <v>1.86</v>
      </c>
      <c r="L46" s="48">
        <v>18</v>
      </c>
      <c r="M46" s="48"/>
      <c r="N46" s="71">
        <f t="shared" si="1"/>
        <v>9.67741935483871</v>
      </c>
      <c r="O46" s="48" t="s">
        <v>70</v>
      </c>
      <c r="P46" s="72"/>
      <c r="Q46" s="72"/>
      <c r="R46" s="72"/>
      <c r="S46" s="72"/>
      <c r="T46" s="72"/>
      <c r="U46" s="72"/>
      <c r="V46" s="72"/>
      <c r="W46" s="72"/>
      <c r="X46" s="72">
        <v>70</v>
      </c>
      <c r="Y46" s="72"/>
      <c r="Z46" s="72"/>
      <c r="AA46" s="72"/>
      <c r="AB46" s="72"/>
      <c r="AC46" s="72">
        <f>$N46*100</f>
        <v>967.74193548387098</v>
      </c>
      <c r="AD46" s="72">
        <f>$AC46*0.4089</f>
        <v>395.70967741935482</v>
      </c>
      <c r="AE46" s="72">
        <f>$AC46*0.0263</f>
        <v>25.451612903225808</v>
      </c>
      <c r="AF46" s="72"/>
      <c r="AG46" s="72"/>
      <c r="AI46" s="72"/>
      <c r="AJ46" s="72"/>
      <c r="AK46" s="72"/>
      <c r="AL46" s="72"/>
    </row>
    <row r="47" spans="1:38">
      <c r="A47" s="65">
        <v>46</v>
      </c>
      <c r="B47" s="144">
        <v>2002</v>
      </c>
      <c r="C47" s="79" t="s">
        <v>136</v>
      </c>
      <c r="D47" s="67" t="s">
        <v>105</v>
      </c>
      <c r="E47" s="67" t="s">
        <v>15</v>
      </c>
      <c r="F47" s="67" t="s">
        <v>35</v>
      </c>
      <c r="G47" s="67" t="s">
        <v>46</v>
      </c>
      <c r="H47" s="68">
        <v>37462</v>
      </c>
      <c r="I47" s="68"/>
      <c r="K47" s="70">
        <v>1.86</v>
      </c>
      <c r="L47" s="48">
        <v>38</v>
      </c>
      <c r="M47" s="48"/>
      <c r="N47" s="71">
        <f t="shared" si="1"/>
        <v>20.43010752688172</v>
      </c>
      <c r="O47" s="48" t="s">
        <v>5</v>
      </c>
      <c r="P47" s="72">
        <v>53.075000000000003</v>
      </c>
      <c r="Q47" s="72">
        <v>23.815000000000001</v>
      </c>
      <c r="R47" s="76">
        <v>0.5</v>
      </c>
      <c r="S47" s="72">
        <v>442.38499999999999</v>
      </c>
      <c r="T47" s="73">
        <v>9.36</v>
      </c>
      <c r="U47" s="72">
        <f>N47*1000*X47/100</f>
        <v>629.24731182795699</v>
      </c>
      <c r="V47" s="72">
        <f>S47*U47/1000</f>
        <v>278.36957204301075</v>
      </c>
      <c r="W47" s="72">
        <f>P47*U47/1000</f>
        <v>33.397301075268821</v>
      </c>
      <c r="X47" s="72">
        <v>3.08</v>
      </c>
      <c r="Y47" s="72">
        <v>14.301075268817204</v>
      </c>
      <c r="Z47" s="73">
        <v>8.1720430107526898</v>
      </c>
      <c r="AA47" s="73">
        <v>36.774193548387103</v>
      </c>
      <c r="AB47" s="73">
        <v>2.0430107526881724</v>
      </c>
      <c r="AC47" s="72"/>
      <c r="AD47" s="72">
        <f>$N47*1000*$X47*0.01*$S47*0.001</f>
        <v>278.36957204301075</v>
      </c>
      <c r="AE47" s="72">
        <f>$N47*1000*$X47*0.01*$P47*0.001</f>
        <v>33.397301075268821</v>
      </c>
      <c r="AF47" s="72"/>
      <c r="AG47" s="72"/>
      <c r="AH47" s="74"/>
      <c r="AI47" s="72"/>
      <c r="AJ47" s="72"/>
      <c r="AK47" s="72"/>
      <c r="AL47" s="72"/>
    </row>
    <row r="48" spans="1:38">
      <c r="A48" s="65">
        <v>47</v>
      </c>
      <c r="B48" s="144">
        <v>2002</v>
      </c>
      <c r="C48" s="79" t="s">
        <v>136</v>
      </c>
      <c r="D48" s="67" t="s">
        <v>105</v>
      </c>
      <c r="E48" s="67" t="s">
        <v>23</v>
      </c>
      <c r="F48" s="67" t="s">
        <v>33</v>
      </c>
      <c r="G48" s="67" t="s">
        <v>34</v>
      </c>
      <c r="H48" s="68">
        <v>37490</v>
      </c>
      <c r="I48" s="68">
        <v>37491</v>
      </c>
      <c r="J48" s="69">
        <v>4</v>
      </c>
      <c r="K48" s="70">
        <v>1.86</v>
      </c>
      <c r="L48" s="48">
        <v>5</v>
      </c>
      <c r="M48" s="48"/>
      <c r="N48" s="71">
        <f t="shared" si="1"/>
        <v>2.6881720430107525</v>
      </c>
      <c r="O48" s="48" t="s">
        <v>70</v>
      </c>
      <c r="P48" s="72"/>
      <c r="Q48" s="72"/>
      <c r="R48" s="72"/>
      <c r="S48" s="72"/>
      <c r="T48" s="72"/>
      <c r="U48" s="72"/>
      <c r="V48" s="72"/>
      <c r="W48" s="72"/>
      <c r="X48" s="72">
        <v>37</v>
      </c>
      <c r="Y48" s="72"/>
      <c r="Z48" s="72"/>
      <c r="AA48" s="72"/>
      <c r="AB48" s="72"/>
      <c r="AC48" s="72">
        <f>$N48*100</f>
        <v>268.81720430107526</v>
      </c>
      <c r="AD48" s="72">
        <f>$AC48*0.4089</f>
        <v>109.91935483870967</v>
      </c>
      <c r="AE48" s="72">
        <f>$AC48*0.0263</f>
        <v>7.06989247311828</v>
      </c>
      <c r="AF48" s="72"/>
      <c r="AG48" s="72"/>
      <c r="AI48" s="72"/>
      <c r="AJ48" s="72"/>
      <c r="AK48" s="72"/>
      <c r="AL48" s="72"/>
    </row>
    <row r="49" spans="1:38">
      <c r="A49" s="65">
        <v>48</v>
      </c>
      <c r="B49" s="144">
        <v>2002</v>
      </c>
      <c r="C49" s="79" t="s">
        <v>136</v>
      </c>
      <c r="D49" s="67" t="s">
        <v>105</v>
      </c>
      <c r="E49" s="67" t="s">
        <v>23</v>
      </c>
      <c r="F49" s="67" t="s">
        <v>33</v>
      </c>
      <c r="G49" s="67" t="s">
        <v>34</v>
      </c>
      <c r="H49" s="68">
        <v>37530</v>
      </c>
      <c r="I49" s="68">
        <v>37531</v>
      </c>
      <c r="J49" s="69">
        <v>5</v>
      </c>
      <c r="K49" s="70">
        <v>1.86</v>
      </c>
      <c r="L49" s="48">
        <v>6</v>
      </c>
      <c r="M49" s="48"/>
      <c r="N49" s="71">
        <f t="shared" si="1"/>
        <v>3.225806451612903</v>
      </c>
      <c r="O49" s="48" t="s">
        <v>70</v>
      </c>
      <c r="P49" s="72"/>
      <c r="Q49" s="72"/>
      <c r="R49" s="72"/>
      <c r="S49" s="72"/>
      <c r="T49" s="72"/>
      <c r="U49" s="72"/>
      <c r="V49" s="72"/>
      <c r="W49" s="72"/>
      <c r="X49" s="72">
        <v>37</v>
      </c>
      <c r="Y49" s="72"/>
      <c r="Z49" s="72"/>
      <c r="AA49" s="72"/>
      <c r="AB49" s="72"/>
      <c r="AC49" s="72">
        <f>$N49*100</f>
        <v>322.58064516129031</v>
      </c>
      <c r="AD49" s="72">
        <f>$AC49*0.4089</f>
        <v>131.90322580645162</v>
      </c>
      <c r="AE49" s="72">
        <f>$AC49*0.0263</f>
        <v>8.4838709677419359</v>
      </c>
      <c r="AF49" s="72"/>
      <c r="AG49" s="72"/>
      <c r="AI49" s="72"/>
      <c r="AJ49" s="72"/>
      <c r="AK49" s="72"/>
      <c r="AL49" s="72"/>
    </row>
    <row r="50" spans="1:38">
      <c r="A50" s="65">
        <v>49</v>
      </c>
      <c r="B50" s="144">
        <v>2002</v>
      </c>
      <c r="C50" s="79" t="s">
        <v>136</v>
      </c>
      <c r="D50" s="67" t="s">
        <v>105</v>
      </c>
      <c r="E50" s="67" t="s">
        <v>15</v>
      </c>
      <c r="F50" s="67" t="s">
        <v>35</v>
      </c>
      <c r="G50" s="67" t="s">
        <v>46</v>
      </c>
      <c r="H50" s="68">
        <v>37533</v>
      </c>
      <c r="I50" s="68"/>
      <c r="K50" s="70">
        <v>1.86</v>
      </c>
      <c r="L50" s="48">
        <v>85.5</v>
      </c>
      <c r="M50" s="48"/>
      <c r="N50" s="71">
        <f t="shared" si="1"/>
        <v>45.967741935483872</v>
      </c>
      <c r="O50" s="48" t="s">
        <v>5</v>
      </c>
      <c r="P50" s="72">
        <v>53.075000000000003</v>
      </c>
      <c r="Q50" s="72">
        <v>23.815000000000001</v>
      </c>
      <c r="R50" s="76">
        <v>0.5</v>
      </c>
      <c r="S50" s="72">
        <v>442.38499999999999</v>
      </c>
      <c r="T50" s="73">
        <v>9.36</v>
      </c>
      <c r="U50" s="72">
        <f>N50*1000*X50/100</f>
        <v>1415.8064516129034</v>
      </c>
      <c r="V50" s="72">
        <f>S50*U50/1000</f>
        <v>626.33153709677424</v>
      </c>
      <c r="W50" s="72">
        <f>P50*U50/1000</f>
        <v>75.143927419354853</v>
      </c>
      <c r="X50" s="72">
        <v>3.08</v>
      </c>
      <c r="Y50" s="72">
        <v>32.177419354838712</v>
      </c>
      <c r="Z50" s="73">
        <v>18.387096774193552</v>
      </c>
      <c r="AA50" s="73">
        <v>82.741935483870975</v>
      </c>
      <c r="AB50" s="73">
        <v>4.5967741935483879</v>
      </c>
      <c r="AC50" s="72"/>
      <c r="AD50" s="72">
        <f>$N50*1000*$X50*0.01*$S50*0.001</f>
        <v>626.33153709677424</v>
      </c>
      <c r="AE50" s="72">
        <f>$N50*1000*$X50*0.01*$P50*0.001</f>
        <v>75.143927419354853</v>
      </c>
      <c r="AF50" s="72"/>
      <c r="AG50" s="72"/>
      <c r="AH50" s="74"/>
      <c r="AI50" s="72"/>
      <c r="AJ50" s="72"/>
      <c r="AK50" s="72"/>
      <c r="AL50" s="72"/>
    </row>
    <row r="51" spans="1:38">
      <c r="A51" s="65">
        <v>50</v>
      </c>
      <c r="B51" s="145">
        <v>2003</v>
      </c>
      <c r="C51" s="66" t="s">
        <v>135</v>
      </c>
      <c r="D51" s="67" t="s">
        <v>105</v>
      </c>
      <c r="E51" s="67" t="s">
        <v>15</v>
      </c>
      <c r="F51" s="67" t="s">
        <v>35</v>
      </c>
      <c r="G51" s="67" t="s">
        <v>46</v>
      </c>
      <c r="H51" s="68">
        <v>37692</v>
      </c>
      <c r="I51" s="68"/>
      <c r="K51" s="70">
        <v>1.3</v>
      </c>
      <c r="L51" s="48">
        <v>60</v>
      </c>
      <c r="M51" s="48"/>
      <c r="N51" s="71">
        <f t="shared" si="1"/>
        <v>46.153846153846153</v>
      </c>
      <c r="O51" s="48" t="s">
        <v>5</v>
      </c>
      <c r="P51" s="72">
        <v>53.075000000000003</v>
      </c>
      <c r="Q51" s="72">
        <v>23.815000000000001</v>
      </c>
      <c r="R51" s="76">
        <v>0.5</v>
      </c>
      <c r="S51" s="72">
        <v>442.38499999999999</v>
      </c>
      <c r="T51" s="73">
        <v>9.36</v>
      </c>
      <c r="U51" s="72">
        <f>N51*1000*X51/100</f>
        <v>1421.5384615384617</v>
      </c>
      <c r="V51" s="72">
        <f>S51*U51/1000</f>
        <v>628.86729230769231</v>
      </c>
      <c r="W51" s="72">
        <f>P51*U51/1000</f>
        <v>75.448153846153858</v>
      </c>
      <c r="X51" s="72">
        <v>3.08</v>
      </c>
      <c r="Y51" s="72">
        <v>32.307692307692314</v>
      </c>
      <c r="Z51" s="73">
        <v>18.461538461538463</v>
      </c>
      <c r="AA51" s="73">
        <v>83.076923076923094</v>
      </c>
      <c r="AB51" s="73">
        <v>4.6153846153846159</v>
      </c>
      <c r="AC51" s="72"/>
      <c r="AD51" s="72">
        <f>$N51*1000*$X51*0.01*$S51*0.001</f>
        <v>628.86729230769231</v>
      </c>
      <c r="AE51" s="72">
        <f>$N51*1000*$X51*0.01*$P51*0.001</f>
        <v>75.448153846153858</v>
      </c>
      <c r="AF51" s="72"/>
      <c r="AG51" s="72"/>
      <c r="AH51" s="74"/>
      <c r="AI51" s="72"/>
      <c r="AJ51" s="72"/>
      <c r="AK51" s="72"/>
      <c r="AL51" s="72"/>
    </row>
    <row r="52" spans="1:38">
      <c r="A52" s="65">
        <v>51</v>
      </c>
      <c r="B52" s="145">
        <v>2003</v>
      </c>
      <c r="C52" s="66" t="s">
        <v>135</v>
      </c>
      <c r="D52" s="67" t="s">
        <v>105</v>
      </c>
      <c r="E52" s="67" t="s">
        <v>21</v>
      </c>
      <c r="F52" s="67" t="s">
        <v>36</v>
      </c>
      <c r="G52" s="67" t="s">
        <v>48</v>
      </c>
      <c r="H52" s="68">
        <v>37700</v>
      </c>
      <c r="I52" s="68"/>
      <c r="K52" s="70">
        <v>1.3</v>
      </c>
      <c r="L52" s="48">
        <v>30</v>
      </c>
      <c r="M52" s="48"/>
      <c r="N52" s="71">
        <f t="shared" si="1"/>
        <v>23.076923076923077</v>
      </c>
      <c r="O52" s="48" t="s">
        <v>3</v>
      </c>
      <c r="P52" s="72"/>
      <c r="Q52" s="72"/>
      <c r="R52" s="72"/>
      <c r="S52" s="72"/>
      <c r="T52" s="72"/>
      <c r="U52" s="72"/>
      <c r="V52" s="72"/>
      <c r="W52" s="72"/>
      <c r="X52" s="72"/>
      <c r="Y52" s="72"/>
      <c r="Z52" s="72"/>
      <c r="AA52" s="72"/>
      <c r="AB52" s="72"/>
      <c r="AC52" s="72"/>
      <c r="AD52" s="72"/>
      <c r="AE52" s="72"/>
      <c r="AF52" s="72"/>
      <c r="AG52" s="72"/>
      <c r="AH52" s="74"/>
      <c r="AI52" s="72"/>
      <c r="AJ52" s="72"/>
      <c r="AK52" s="72"/>
      <c r="AL52" s="72"/>
    </row>
    <row r="53" spans="1:38">
      <c r="A53" s="65">
        <v>52</v>
      </c>
      <c r="B53" s="145">
        <v>2003</v>
      </c>
      <c r="C53" s="66" t="s">
        <v>135</v>
      </c>
      <c r="D53" s="67" t="s">
        <v>105</v>
      </c>
      <c r="E53" s="67" t="s">
        <v>23</v>
      </c>
      <c r="F53" s="67" t="s">
        <v>33</v>
      </c>
      <c r="G53" s="67" t="s">
        <v>34</v>
      </c>
      <c r="H53" s="68">
        <v>37745</v>
      </c>
      <c r="I53" s="68">
        <v>37746</v>
      </c>
      <c r="J53" s="69">
        <v>1</v>
      </c>
      <c r="K53" s="70">
        <v>1.3</v>
      </c>
      <c r="L53" s="48">
        <v>3</v>
      </c>
      <c r="M53" s="48"/>
      <c r="N53" s="71">
        <f t="shared" si="1"/>
        <v>2.3076923076923075</v>
      </c>
      <c r="O53" s="48" t="s">
        <v>65</v>
      </c>
      <c r="P53" s="72"/>
      <c r="Q53" s="72"/>
      <c r="R53" s="72"/>
      <c r="S53" s="72"/>
      <c r="T53" s="72"/>
      <c r="U53" s="72"/>
      <c r="V53" s="72"/>
      <c r="W53" s="72"/>
      <c r="X53" s="72">
        <v>37</v>
      </c>
      <c r="Y53" s="72"/>
      <c r="Z53" s="72"/>
      <c r="AA53" s="72"/>
      <c r="AB53" s="72"/>
      <c r="AC53" s="72">
        <f>N53*AG53*X53*0.01</f>
        <v>2561.5384615384614</v>
      </c>
      <c r="AD53" s="72">
        <f>AC53*0.4089</f>
        <v>1047.4130769230769</v>
      </c>
      <c r="AE53" s="72">
        <f>AC53*0.0263</f>
        <v>67.368461538461531</v>
      </c>
      <c r="AF53" s="72"/>
      <c r="AG53" s="72">
        <v>3000</v>
      </c>
      <c r="AI53" s="72"/>
      <c r="AJ53" s="72"/>
      <c r="AK53" s="72"/>
      <c r="AL53" s="72"/>
    </row>
    <row r="54" spans="1:38">
      <c r="A54" s="65">
        <v>53</v>
      </c>
      <c r="B54" s="145">
        <v>2003</v>
      </c>
      <c r="C54" s="66" t="s">
        <v>135</v>
      </c>
      <c r="D54" s="67" t="s">
        <v>105</v>
      </c>
      <c r="E54" s="67" t="s">
        <v>23</v>
      </c>
      <c r="F54" s="67" t="s">
        <v>27</v>
      </c>
      <c r="G54" s="67" t="s">
        <v>42</v>
      </c>
      <c r="H54" s="68">
        <v>37760</v>
      </c>
      <c r="I54" s="68">
        <v>37795</v>
      </c>
      <c r="J54" s="69">
        <v>2</v>
      </c>
      <c r="K54" s="70">
        <v>1.3</v>
      </c>
      <c r="L54" s="48">
        <v>30</v>
      </c>
      <c r="M54" s="48"/>
      <c r="N54" s="81">
        <v>5.4945054945054936</v>
      </c>
      <c r="O54" s="82" t="s">
        <v>64</v>
      </c>
      <c r="P54" s="72"/>
      <c r="Q54" s="72"/>
      <c r="R54" s="72"/>
      <c r="S54" s="72"/>
      <c r="T54" s="72"/>
      <c r="U54" s="72"/>
      <c r="V54" s="72"/>
      <c r="W54" s="72"/>
      <c r="X54" s="72"/>
      <c r="Y54" s="72"/>
      <c r="Z54" s="72"/>
      <c r="AA54" s="72"/>
      <c r="AB54" s="72"/>
      <c r="AC54" s="72">
        <f>$N54*100</f>
        <v>549.45054945054937</v>
      </c>
      <c r="AD54" s="72">
        <f>AC54*0.4089</f>
        <v>224.67032967032964</v>
      </c>
      <c r="AE54" s="72">
        <f>AC54*0.0263</f>
        <v>14.450549450549449</v>
      </c>
      <c r="AF54" s="72">
        <v>35</v>
      </c>
      <c r="AG54" s="72">
        <v>12</v>
      </c>
      <c r="AI54" s="72"/>
      <c r="AJ54" s="72"/>
      <c r="AK54" s="72"/>
      <c r="AL54" s="72"/>
    </row>
    <row r="55" spans="1:38">
      <c r="A55" s="65">
        <v>54</v>
      </c>
      <c r="B55" s="145">
        <v>2003</v>
      </c>
      <c r="C55" s="66" t="s">
        <v>135</v>
      </c>
      <c r="D55" s="67" t="s">
        <v>105</v>
      </c>
      <c r="E55" s="67" t="s">
        <v>23</v>
      </c>
      <c r="F55" s="67" t="s">
        <v>33</v>
      </c>
      <c r="G55" s="78" t="s">
        <v>41</v>
      </c>
      <c r="H55" s="68">
        <v>37795</v>
      </c>
      <c r="I55" s="68">
        <v>37796</v>
      </c>
      <c r="J55" s="69">
        <v>2</v>
      </c>
      <c r="K55" s="70">
        <v>1.3</v>
      </c>
      <c r="L55" s="48">
        <v>1</v>
      </c>
      <c r="M55" s="48"/>
      <c r="N55" s="71">
        <f>IF(L55/K55&gt;0, L55/K55,"")</f>
        <v>0.76923076923076916</v>
      </c>
      <c r="O55" s="48" t="s">
        <v>65</v>
      </c>
      <c r="P55" s="72"/>
      <c r="Q55" s="72"/>
      <c r="R55" s="72"/>
      <c r="S55" s="72"/>
      <c r="T55" s="72"/>
      <c r="U55" s="72"/>
      <c r="V55" s="72"/>
      <c r="W55" s="72"/>
      <c r="X55" s="72">
        <v>70</v>
      </c>
      <c r="Y55" s="72"/>
      <c r="Z55" s="72"/>
      <c r="AA55" s="72"/>
      <c r="AB55" s="72"/>
      <c r="AC55" s="72">
        <f>N55*AG55*X55*0.01</f>
        <v>807.69230769230762</v>
      </c>
      <c r="AD55" s="72">
        <f>AC55*0.4089</f>
        <v>330.26538461538456</v>
      </c>
      <c r="AE55" s="72">
        <f>AC55*0.0263</f>
        <v>21.242307692307691</v>
      </c>
      <c r="AF55" s="72"/>
      <c r="AG55" s="72">
        <v>1500</v>
      </c>
      <c r="AI55" s="72"/>
      <c r="AJ55" s="72"/>
      <c r="AK55" s="72"/>
      <c r="AL55" s="72"/>
    </row>
    <row r="56" spans="1:38">
      <c r="A56" s="65">
        <v>55</v>
      </c>
      <c r="B56" s="145">
        <v>2003</v>
      </c>
      <c r="C56" s="66" t="s">
        <v>135</v>
      </c>
      <c r="D56" s="67" t="s">
        <v>105</v>
      </c>
      <c r="E56" s="67" t="s">
        <v>23</v>
      </c>
      <c r="F56" s="67" t="s">
        <v>33</v>
      </c>
      <c r="G56" s="78" t="s">
        <v>41</v>
      </c>
      <c r="H56" s="68">
        <v>37830</v>
      </c>
      <c r="I56" s="68">
        <v>37832</v>
      </c>
      <c r="J56" s="69">
        <v>3</v>
      </c>
      <c r="K56" s="70">
        <v>1.3</v>
      </c>
      <c r="L56" s="48">
        <v>1</v>
      </c>
      <c r="M56" s="48"/>
      <c r="N56" s="71">
        <f>IF(L56/K56&gt;0, L56/K56,"")</f>
        <v>0.76923076923076916</v>
      </c>
      <c r="O56" s="48" t="s">
        <v>65</v>
      </c>
      <c r="P56" s="72"/>
      <c r="Q56" s="72"/>
      <c r="R56" s="72"/>
      <c r="S56" s="72"/>
      <c r="T56" s="72"/>
      <c r="U56" s="72"/>
      <c r="V56" s="72"/>
      <c r="W56" s="72"/>
      <c r="X56" s="72">
        <v>70</v>
      </c>
      <c r="Y56" s="72"/>
      <c r="Z56" s="72"/>
      <c r="AA56" s="72"/>
      <c r="AB56" s="72"/>
      <c r="AC56" s="72">
        <f>N56*AG56*X56*0.01</f>
        <v>807.69230769230762</v>
      </c>
      <c r="AD56" s="72">
        <f>AC56*0.4089</f>
        <v>330.26538461538456</v>
      </c>
      <c r="AE56" s="72">
        <f>AC56*0.0263</f>
        <v>21.242307692307691</v>
      </c>
      <c r="AF56" s="72"/>
      <c r="AG56" s="72">
        <v>1500</v>
      </c>
      <c r="AI56" s="72"/>
      <c r="AJ56" s="72"/>
      <c r="AK56" s="72"/>
      <c r="AL56" s="72"/>
    </row>
    <row r="57" spans="1:38">
      <c r="A57" s="65">
        <v>56</v>
      </c>
      <c r="B57" s="145">
        <v>2003</v>
      </c>
      <c r="C57" s="66" t="s">
        <v>135</v>
      </c>
      <c r="D57" s="67" t="s">
        <v>105</v>
      </c>
      <c r="E57" s="67" t="s">
        <v>15</v>
      </c>
      <c r="F57" s="67" t="s">
        <v>35</v>
      </c>
      <c r="G57" s="67" t="s">
        <v>46</v>
      </c>
      <c r="H57" s="68">
        <v>37838</v>
      </c>
      <c r="I57" s="68"/>
      <c r="K57" s="70">
        <v>1.3</v>
      </c>
      <c r="L57" s="48">
        <v>62</v>
      </c>
      <c r="M57" s="48"/>
      <c r="N57" s="71">
        <f>IF(L57/K57&gt;0, L57/K57,"")</f>
        <v>47.692307692307693</v>
      </c>
      <c r="O57" s="48" t="s">
        <v>5</v>
      </c>
      <c r="P57" s="72">
        <v>53.075000000000003</v>
      </c>
      <c r="Q57" s="72">
        <v>23.815000000000001</v>
      </c>
      <c r="R57" s="76">
        <v>0.5</v>
      </c>
      <c r="S57" s="72">
        <v>442.38499999999999</v>
      </c>
      <c r="T57" s="73">
        <v>9.36</v>
      </c>
      <c r="U57" s="72">
        <f>N57*1000*X57/100</f>
        <v>1468.9230769230771</v>
      </c>
      <c r="V57" s="72">
        <f>S57*U57/1000</f>
        <v>649.82953538461538</v>
      </c>
      <c r="W57" s="72">
        <f>P57*U57/1000</f>
        <v>77.963092307692321</v>
      </c>
      <c r="X57" s="72">
        <v>3.08</v>
      </c>
      <c r="Y57" s="72">
        <v>33.384615384615387</v>
      </c>
      <c r="Z57" s="73">
        <v>19.07692307692308</v>
      </c>
      <c r="AA57" s="73">
        <v>85.846153846153868</v>
      </c>
      <c r="AB57" s="73">
        <v>4.7692307692307701</v>
      </c>
      <c r="AC57" s="72"/>
      <c r="AD57" s="72">
        <f>$N57*1000*$X57*0.01*$S57*0.001</f>
        <v>649.82953538461538</v>
      </c>
      <c r="AE57" s="72">
        <f>$N57*1000*$X57*0.01*$P57*0.001</f>
        <v>77.963092307692321</v>
      </c>
      <c r="AF57" s="72"/>
      <c r="AG57" s="72"/>
      <c r="AH57" s="74"/>
      <c r="AI57" s="72"/>
      <c r="AJ57" s="72"/>
      <c r="AK57" s="72"/>
      <c r="AL57" s="72"/>
    </row>
    <row r="58" spans="1:38">
      <c r="A58" s="65">
        <v>57</v>
      </c>
      <c r="B58" s="145">
        <v>2003</v>
      </c>
      <c r="C58" s="66" t="s">
        <v>135</v>
      </c>
      <c r="D58" s="67" t="s">
        <v>105</v>
      </c>
      <c r="E58" s="67" t="s">
        <v>23</v>
      </c>
      <c r="F58" s="67" t="s">
        <v>27</v>
      </c>
      <c r="G58" s="67" t="s">
        <v>45</v>
      </c>
      <c r="H58" s="68">
        <v>37858</v>
      </c>
      <c r="I58" s="68">
        <v>37869</v>
      </c>
      <c r="J58" s="69">
        <v>4</v>
      </c>
      <c r="K58" s="70">
        <v>1.3</v>
      </c>
      <c r="L58" s="48">
        <v>6</v>
      </c>
      <c r="M58" s="48"/>
      <c r="N58" s="81">
        <v>27.97202797202797</v>
      </c>
      <c r="O58" s="82" t="s">
        <v>64</v>
      </c>
      <c r="P58" s="72"/>
      <c r="Q58" s="72"/>
      <c r="R58" s="72"/>
      <c r="S58" s="72"/>
      <c r="T58" s="72"/>
      <c r="U58" s="72"/>
      <c r="V58" s="72"/>
      <c r="W58" s="72"/>
      <c r="X58" s="72"/>
      <c r="Y58" s="72"/>
      <c r="Z58" s="72"/>
      <c r="AA58" s="72"/>
      <c r="AB58" s="72"/>
      <c r="AC58" s="72">
        <f>$N58*100</f>
        <v>2797.2027972027968</v>
      </c>
      <c r="AD58" s="72">
        <f>AC58*0.4089</f>
        <v>1143.7762237762236</v>
      </c>
      <c r="AE58" s="72">
        <f>AC58*0.0263</f>
        <v>73.56643356643356</v>
      </c>
      <c r="AF58" s="72">
        <v>11</v>
      </c>
      <c r="AG58" s="72">
        <v>1.5</v>
      </c>
      <c r="AI58" s="72"/>
      <c r="AJ58" s="72"/>
      <c r="AK58" s="72"/>
      <c r="AL58" s="72"/>
    </row>
    <row r="59" spans="1:38">
      <c r="A59" s="65">
        <v>58</v>
      </c>
      <c r="B59" s="145">
        <v>2003</v>
      </c>
      <c r="C59" s="66" t="s">
        <v>135</v>
      </c>
      <c r="D59" s="67" t="s">
        <v>105</v>
      </c>
      <c r="E59" s="67" t="s">
        <v>23</v>
      </c>
      <c r="F59" s="67" t="s">
        <v>33</v>
      </c>
      <c r="G59" s="75" t="s">
        <v>34</v>
      </c>
      <c r="H59" s="68">
        <v>37880</v>
      </c>
      <c r="I59" s="68">
        <v>37881</v>
      </c>
      <c r="J59" s="69">
        <v>4</v>
      </c>
      <c r="K59" s="70">
        <v>1.3</v>
      </c>
      <c r="L59" s="48">
        <v>0.5</v>
      </c>
      <c r="M59" s="48"/>
      <c r="N59" s="71">
        <f>IF(L59/K59&gt;0, L59/K59,"")</f>
        <v>0.38461538461538458</v>
      </c>
      <c r="O59" s="48" t="s">
        <v>65</v>
      </c>
      <c r="P59" s="72"/>
      <c r="Q59" s="72"/>
      <c r="R59" s="72"/>
      <c r="S59" s="72"/>
      <c r="T59" s="72"/>
      <c r="U59" s="72"/>
      <c r="V59" s="72"/>
      <c r="W59" s="72"/>
      <c r="X59" s="72">
        <v>37</v>
      </c>
      <c r="Y59" s="72"/>
      <c r="Z59" s="72"/>
      <c r="AA59" s="72"/>
      <c r="AB59" s="72"/>
      <c r="AC59" s="72">
        <f>N59*AG59*X59*0.01</f>
        <v>426.92307692307691</v>
      </c>
      <c r="AD59" s="72">
        <f>AC59*0.4089</f>
        <v>174.56884615384615</v>
      </c>
      <c r="AE59" s="72">
        <f>AC59*0.0263</f>
        <v>11.228076923076923</v>
      </c>
      <c r="AF59" s="72"/>
      <c r="AG59" s="72">
        <v>3000</v>
      </c>
      <c r="AI59" s="72"/>
      <c r="AJ59" s="72"/>
      <c r="AK59" s="72"/>
      <c r="AL59" s="72"/>
    </row>
    <row r="60" spans="1:38">
      <c r="A60" s="65">
        <v>59</v>
      </c>
      <c r="B60" s="145">
        <v>2003</v>
      </c>
      <c r="C60" s="66" t="s">
        <v>135</v>
      </c>
      <c r="D60" s="67" t="s">
        <v>105</v>
      </c>
      <c r="E60" s="67" t="s">
        <v>23</v>
      </c>
      <c r="F60" s="67" t="s">
        <v>27</v>
      </c>
      <c r="G60" s="75" t="s">
        <v>45</v>
      </c>
      <c r="H60" s="68">
        <v>37915</v>
      </c>
      <c r="I60" s="68">
        <v>37926</v>
      </c>
      <c r="J60" s="69">
        <v>5</v>
      </c>
      <c r="K60" s="70">
        <v>1.3</v>
      </c>
      <c r="L60" s="48">
        <v>16</v>
      </c>
      <c r="M60" s="48"/>
      <c r="N60" s="81">
        <v>74.592074592074582</v>
      </c>
      <c r="O60" s="82" t="s">
        <v>64</v>
      </c>
      <c r="P60" s="72"/>
      <c r="Q60" s="72"/>
      <c r="R60" s="72"/>
      <c r="S60" s="72"/>
      <c r="T60" s="72"/>
      <c r="U60" s="72"/>
      <c r="V60" s="72"/>
      <c r="W60" s="72"/>
      <c r="X60" s="72"/>
      <c r="Y60" s="72"/>
      <c r="Z60" s="72"/>
      <c r="AA60" s="72"/>
      <c r="AB60" s="72"/>
      <c r="AC60" s="72">
        <f>$N60*100</f>
        <v>7459.2074592074578</v>
      </c>
      <c r="AD60" s="72">
        <f>AC60*0.4089</f>
        <v>3050.0699300699293</v>
      </c>
      <c r="AE60" s="72">
        <f>AC60*0.0263</f>
        <v>196.17715617715615</v>
      </c>
      <c r="AF60" s="72">
        <v>11</v>
      </c>
      <c r="AG60" s="72">
        <v>1.5</v>
      </c>
      <c r="AI60" s="72"/>
      <c r="AJ60" s="72"/>
      <c r="AK60" s="72"/>
      <c r="AL60" s="72"/>
    </row>
    <row r="61" spans="1:38">
      <c r="A61" s="65">
        <v>60</v>
      </c>
      <c r="B61" s="145">
        <v>2003</v>
      </c>
      <c r="C61" s="66" t="s">
        <v>135</v>
      </c>
      <c r="D61" s="67" t="s">
        <v>105</v>
      </c>
      <c r="E61" s="67" t="s">
        <v>15</v>
      </c>
      <c r="F61" s="67" t="s">
        <v>35</v>
      </c>
      <c r="G61" s="67" t="s">
        <v>46</v>
      </c>
      <c r="H61" s="68">
        <v>37931</v>
      </c>
      <c r="I61" s="68"/>
      <c r="K61" s="70">
        <v>1.3</v>
      </c>
      <c r="L61" s="48">
        <v>100</v>
      </c>
      <c r="M61" s="48"/>
      <c r="N61" s="71">
        <f>IF(L61/K61&gt;0, L61/K61,"")</f>
        <v>76.92307692307692</v>
      </c>
      <c r="O61" s="48" t="s">
        <v>5</v>
      </c>
      <c r="P61" s="72">
        <v>53.075000000000003</v>
      </c>
      <c r="Q61" s="72">
        <v>23.815000000000001</v>
      </c>
      <c r="R61" s="76">
        <v>0.5</v>
      </c>
      <c r="S61" s="72">
        <v>442.38499999999999</v>
      </c>
      <c r="T61" s="73">
        <v>9.36</v>
      </c>
      <c r="U61" s="72">
        <f>N61*1000*X61/100</f>
        <v>2369.2307692307695</v>
      </c>
      <c r="V61" s="72">
        <f>S61*U61/1000</f>
        <v>1048.1121538461539</v>
      </c>
      <c r="W61" s="72">
        <f>P61*U61/1000</f>
        <v>125.7469230769231</v>
      </c>
      <c r="X61" s="72">
        <v>3.08</v>
      </c>
      <c r="Y61" s="72">
        <v>107.69230769230771</v>
      </c>
      <c r="Z61" s="73">
        <v>46.15384615384616</v>
      </c>
      <c r="AA61" s="73">
        <v>246.15384615384619</v>
      </c>
      <c r="AB61" s="73">
        <v>15.384615384615387</v>
      </c>
      <c r="AC61" s="72"/>
      <c r="AD61" s="72">
        <f>$N61*1000*$X61*0.01*$S61*0.001</f>
        <v>1048.1121538461541</v>
      </c>
      <c r="AE61" s="72">
        <f>$N61*1000*$X61*0.01*$P61*0.001</f>
        <v>125.7469230769231</v>
      </c>
      <c r="AF61" s="72"/>
      <c r="AG61" s="72"/>
      <c r="AH61" s="74"/>
      <c r="AI61" s="72"/>
      <c r="AJ61" s="72"/>
      <c r="AK61" s="72"/>
      <c r="AL61" s="72"/>
    </row>
    <row r="62" spans="1:38">
      <c r="A62" s="65">
        <v>61</v>
      </c>
      <c r="B62" s="145">
        <v>2003</v>
      </c>
      <c r="C62" s="66" t="s">
        <v>135</v>
      </c>
      <c r="D62" s="67" t="s">
        <v>105</v>
      </c>
      <c r="E62" s="67" t="s">
        <v>23</v>
      </c>
      <c r="F62" s="67" t="s">
        <v>27</v>
      </c>
      <c r="G62" s="67" t="s">
        <v>45</v>
      </c>
      <c r="H62" s="68">
        <v>37940</v>
      </c>
      <c r="I62" s="68">
        <v>37970</v>
      </c>
      <c r="K62" s="70">
        <v>1.3</v>
      </c>
      <c r="L62" s="48">
        <v>19.5</v>
      </c>
      <c r="M62" s="48"/>
      <c r="N62" s="81">
        <v>33.333333333333336</v>
      </c>
      <c r="O62" s="82" t="s">
        <v>64</v>
      </c>
      <c r="P62" s="72"/>
      <c r="Q62" s="72"/>
      <c r="R62" s="72"/>
      <c r="S62" s="72"/>
      <c r="T62" s="72"/>
      <c r="U62" s="72"/>
      <c r="V62" s="72"/>
      <c r="W62" s="72"/>
      <c r="X62" s="72"/>
      <c r="Y62" s="72"/>
      <c r="Z62" s="72"/>
      <c r="AA62" s="72"/>
      <c r="AB62" s="72"/>
      <c r="AC62" s="72">
        <f>$N62*100</f>
        <v>3333.3333333333335</v>
      </c>
      <c r="AD62" s="72">
        <f>AC62*0.4089</f>
        <v>1363</v>
      </c>
      <c r="AE62" s="72">
        <f>AC62*0.0263</f>
        <v>87.666666666666671</v>
      </c>
      <c r="AF62" s="72">
        <v>30</v>
      </c>
      <c r="AG62" s="72">
        <v>1.5</v>
      </c>
      <c r="AI62" s="72"/>
      <c r="AJ62" s="72"/>
      <c r="AK62" s="72"/>
      <c r="AL62" s="72"/>
    </row>
    <row r="63" spans="1:38">
      <c r="A63" s="65">
        <v>62</v>
      </c>
      <c r="B63" s="145">
        <v>2003</v>
      </c>
      <c r="C63" s="79" t="s">
        <v>136</v>
      </c>
      <c r="D63" s="67" t="s">
        <v>105</v>
      </c>
      <c r="E63" s="67" t="s">
        <v>15</v>
      </c>
      <c r="F63" s="67" t="s">
        <v>35</v>
      </c>
      <c r="G63" s="67" t="s">
        <v>46</v>
      </c>
      <c r="H63" s="68">
        <v>37692</v>
      </c>
      <c r="I63" s="68"/>
      <c r="K63" s="70">
        <v>3.2</v>
      </c>
      <c r="L63" s="48">
        <v>128</v>
      </c>
      <c r="M63" s="48"/>
      <c r="N63" s="71">
        <f>IF(L63/K63&gt;0, L63/K63,"")</f>
        <v>40</v>
      </c>
      <c r="O63" s="48" t="s">
        <v>5</v>
      </c>
      <c r="P63" s="72">
        <v>53.075000000000003</v>
      </c>
      <c r="Q63" s="72">
        <v>23.815000000000001</v>
      </c>
      <c r="R63" s="76">
        <v>0.5</v>
      </c>
      <c r="S63" s="72">
        <v>442.38499999999999</v>
      </c>
      <c r="T63" s="73">
        <v>9.36</v>
      </c>
      <c r="U63" s="72">
        <f>N63*1000*X63/100</f>
        <v>1232</v>
      </c>
      <c r="V63" s="72">
        <f>S63*U63/1000</f>
        <v>545.0183199999999</v>
      </c>
      <c r="W63" s="72">
        <f>P63*U63/1000</f>
        <v>65.388400000000004</v>
      </c>
      <c r="X63" s="72">
        <v>3.08</v>
      </c>
      <c r="Y63" s="72">
        <v>28</v>
      </c>
      <c r="Z63" s="73">
        <v>16.000000000000004</v>
      </c>
      <c r="AA63" s="73">
        <v>72.000000000000014</v>
      </c>
      <c r="AB63" s="73">
        <v>4.0000000000000009</v>
      </c>
      <c r="AC63" s="72"/>
      <c r="AD63" s="72">
        <f>$N63*1000*$X63*0.01*$S63*0.001</f>
        <v>545.0183199999999</v>
      </c>
      <c r="AE63" s="72">
        <f>$N63*1000*$X63*0.01*$P63*0.001</f>
        <v>65.388400000000004</v>
      </c>
      <c r="AF63" s="72"/>
      <c r="AG63" s="72"/>
      <c r="AH63" s="74"/>
      <c r="AI63" s="72"/>
      <c r="AJ63" s="72"/>
      <c r="AK63" s="72"/>
      <c r="AL63" s="72"/>
    </row>
    <row r="64" spans="1:38">
      <c r="A64" s="65">
        <v>63</v>
      </c>
      <c r="B64" s="145">
        <v>2003</v>
      </c>
      <c r="C64" s="79" t="s">
        <v>136</v>
      </c>
      <c r="D64" s="67" t="s">
        <v>105</v>
      </c>
      <c r="E64" s="67" t="s">
        <v>21</v>
      </c>
      <c r="F64" s="67" t="s">
        <v>36</v>
      </c>
      <c r="G64" s="67" t="s">
        <v>48</v>
      </c>
      <c r="H64" s="68">
        <v>37699</v>
      </c>
      <c r="I64" s="68"/>
      <c r="K64" s="70">
        <v>3.2</v>
      </c>
      <c r="L64" s="48">
        <v>64</v>
      </c>
      <c r="M64" s="48"/>
      <c r="N64" s="71">
        <f>IF(L64/K64&gt;0, L64/K64,"")</f>
        <v>20</v>
      </c>
      <c r="O64" s="48" t="s">
        <v>3</v>
      </c>
      <c r="P64" s="72"/>
      <c r="Q64" s="72"/>
      <c r="R64" s="72"/>
      <c r="S64" s="72"/>
      <c r="T64" s="72"/>
      <c r="U64" s="72"/>
      <c r="V64" s="72"/>
      <c r="W64" s="72"/>
      <c r="X64" s="72"/>
      <c r="Y64" s="72"/>
      <c r="Z64" s="72"/>
      <c r="AA64" s="72"/>
      <c r="AB64" s="72"/>
      <c r="AC64" s="72"/>
      <c r="AD64" s="72"/>
      <c r="AE64" s="72"/>
      <c r="AF64" s="72"/>
      <c r="AG64" s="72"/>
      <c r="AH64" s="74"/>
      <c r="AI64" s="72"/>
      <c r="AJ64" s="72"/>
      <c r="AK64" s="72"/>
      <c r="AL64" s="72"/>
    </row>
    <row r="65" spans="1:38">
      <c r="A65" s="65">
        <v>64</v>
      </c>
      <c r="B65" s="145">
        <v>2003</v>
      </c>
      <c r="C65" s="79" t="s">
        <v>136</v>
      </c>
      <c r="D65" s="67" t="s">
        <v>105</v>
      </c>
      <c r="E65" s="67" t="s">
        <v>23</v>
      </c>
      <c r="F65" s="67" t="s">
        <v>33</v>
      </c>
      <c r="G65" s="67" t="s">
        <v>34</v>
      </c>
      <c r="H65" s="68">
        <v>37745</v>
      </c>
      <c r="I65" s="68">
        <v>37746</v>
      </c>
      <c r="J65" s="69">
        <v>1</v>
      </c>
      <c r="K65" s="70">
        <v>3.2</v>
      </c>
      <c r="L65" s="48">
        <v>3.5</v>
      </c>
      <c r="M65" s="48"/>
      <c r="N65" s="71">
        <f>IF(L65/K65&gt;0, L65/K65,"")</f>
        <v>1.09375</v>
      </c>
      <c r="O65" s="48" t="s">
        <v>65</v>
      </c>
      <c r="P65" s="72"/>
      <c r="Q65" s="72"/>
      <c r="R65" s="72"/>
      <c r="S65" s="72"/>
      <c r="T65" s="72"/>
      <c r="U65" s="72"/>
      <c r="V65" s="72"/>
      <c r="W65" s="72"/>
      <c r="X65" s="72">
        <v>37</v>
      </c>
      <c r="Y65" s="72"/>
      <c r="Z65" s="72"/>
      <c r="AA65" s="72"/>
      <c r="AB65" s="72"/>
      <c r="AC65" s="72">
        <f>N65*AG65*X65*0.01</f>
        <v>1214.0625</v>
      </c>
      <c r="AD65" s="72">
        <f>$AC65*0.4089</f>
        <v>496.43015624999998</v>
      </c>
      <c r="AE65" s="72">
        <f>$AC65*0.0263</f>
        <v>31.92984375</v>
      </c>
      <c r="AF65" s="72"/>
      <c r="AG65" s="72">
        <v>3000</v>
      </c>
      <c r="AI65" s="72"/>
      <c r="AJ65" s="72"/>
      <c r="AK65" s="72"/>
      <c r="AL65" s="72"/>
    </row>
    <row r="66" spans="1:38">
      <c r="A66" s="65">
        <v>65</v>
      </c>
      <c r="B66" s="145">
        <v>2003</v>
      </c>
      <c r="C66" s="79" t="s">
        <v>136</v>
      </c>
      <c r="D66" s="67" t="s">
        <v>105</v>
      </c>
      <c r="E66" s="67" t="s">
        <v>15</v>
      </c>
      <c r="F66" s="67" t="s">
        <v>35</v>
      </c>
      <c r="G66" s="67" t="s">
        <v>46</v>
      </c>
      <c r="H66" s="68">
        <v>37750</v>
      </c>
      <c r="I66" s="68"/>
      <c r="K66" s="70">
        <v>3.2</v>
      </c>
      <c r="L66" s="48">
        <v>115</v>
      </c>
      <c r="M66" s="48"/>
      <c r="N66" s="71">
        <f>IF(L66/K66&gt;0, L66/K66,"")</f>
        <v>35.9375</v>
      </c>
      <c r="O66" s="48" t="s">
        <v>5</v>
      </c>
      <c r="P66" s="72">
        <v>53.075000000000003</v>
      </c>
      <c r="Q66" s="72">
        <v>23.815000000000001</v>
      </c>
      <c r="R66" s="76">
        <v>0.5</v>
      </c>
      <c r="S66" s="72">
        <v>442.38499999999999</v>
      </c>
      <c r="T66" s="73">
        <v>9.36</v>
      </c>
      <c r="U66" s="72">
        <f>N66*1000*X66/100</f>
        <v>1106.875</v>
      </c>
      <c r="V66" s="72">
        <f>S66*U66/1000</f>
        <v>489.66489687499995</v>
      </c>
      <c r="W66" s="72">
        <f>P66*U66/1000</f>
        <v>58.747390625000001</v>
      </c>
      <c r="X66" s="72">
        <v>3.08</v>
      </c>
      <c r="Y66" s="72">
        <v>25.156250000000004</v>
      </c>
      <c r="Z66" s="73">
        <v>14.375000000000002</v>
      </c>
      <c r="AA66" s="73">
        <v>64.6875</v>
      </c>
      <c r="AB66" s="73">
        <v>3.5937500000000004</v>
      </c>
      <c r="AC66" s="72"/>
      <c r="AD66" s="72">
        <f>$N66*1000*$X66*0.01*$S66*0.001</f>
        <v>489.66489687500001</v>
      </c>
      <c r="AE66" s="72">
        <f>$N66*1000*$X66*0.01*$P66*0.001</f>
        <v>58.747390625000001</v>
      </c>
      <c r="AF66" s="72"/>
      <c r="AG66" s="72"/>
      <c r="AH66" s="74"/>
      <c r="AI66" s="72"/>
      <c r="AJ66" s="72"/>
      <c r="AK66" s="72"/>
      <c r="AL66" s="72"/>
    </row>
    <row r="67" spans="1:38">
      <c r="A67" s="65">
        <v>66</v>
      </c>
      <c r="B67" s="145">
        <v>2003</v>
      </c>
      <c r="C67" s="79" t="s">
        <v>136</v>
      </c>
      <c r="D67" s="67" t="s">
        <v>105</v>
      </c>
      <c r="E67" s="67" t="s">
        <v>23</v>
      </c>
      <c r="F67" s="67" t="s">
        <v>27</v>
      </c>
      <c r="G67" s="67" t="s">
        <v>42</v>
      </c>
      <c r="H67" s="68">
        <v>37760</v>
      </c>
      <c r="I67" s="68">
        <v>37795</v>
      </c>
      <c r="J67" s="69">
        <v>2</v>
      </c>
      <c r="K67" s="70">
        <v>3.2</v>
      </c>
      <c r="L67" s="48">
        <v>40</v>
      </c>
      <c r="M67" s="48"/>
      <c r="N67" s="81">
        <v>2.9761904761904763</v>
      </c>
      <c r="O67" s="82" t="s">
        <v>64</v>
      </c>
      <c r="P67" s="72"/>
      <c r="Q67" s="72"/>
      <c r="R67" s="72"/>
      <c r="S67" s="72"/>
      <c r="T67" s="72"/>
      <c r="U67" s="72"/>
      <c r="V67" s="72"/>
      <c r="W67" s="72"/>
      <c r="X67" s="72"/>
      <c r="Y67" s="72"/>
      <c r="Z67" s="72"/>
      <c r="AA67" s="72"/>
      <c r="AB67" s="72"/>
      <c r="AC67" s="72">
        <f>$N67*100</f>
        <v>297.61904761904765</v>
      </c>
      <c r="AD67" s="72">
        <f>$AC67*0.4089</f>
        <v>121.69642857142858</v>
      </c>
      <c r="AE67" s="72">
        <f>$AC67*0.0263</f>
        <v>7.8273809523809534</v>
      </c>
      <c r="AF67" s="72">
        <v>35</v>
      </c>
      <c r="AG67" s="72">
        <v>12</v>
      </c>
      <c r="AI67" s="72"/>
      <c r="AJ67" s="72"/>
      <c r="AK67" s="72"/>
      <c r="AL67" s="72"/>
    </row>
    <row r="68" spans="1:38">
      <c r="A68" s="65">
        <v>67</v>
      </c>
      <c r="B68" s="145">
        <v>2003</v>
      </c>
      <c r="C68" s="79" t="s">
        <v>136</v>
      </c>
      <c r="D68" s="67" t="s">
        <v>105</v>
      </c>
      <c r="E68" s="67" t="s">
        <v>23</v>
      </c>
      <c r="F68" s="67" t="s">
        <v>33</v>
      </c>
      <c r="G68" s="78" t="s">
        <v>41</v>
      </c>
      <c r="H68" s="68">
        <v>37795</v>
      </c>
      <c r="I68" s="68">
        <v>37796</v>
      </c>
      <c r="J68" s="69">
        <v>2</v>
      </c>
      <c r="K68" s="70">
        <v>3.2</v>
      </c>
      <c r="L68" s="48">
        <v>6</v>
      </c>
      <c r="M68" s="48"/>
      <c r="N68" s="71">
        <f>IF(L68/K68&gt;0, L68/K68,"")</f>
        <v>1.875</v>
      </c>
      <c r="O68" s="48" t="s">
        <v>65</v>
      </c>
      <c r="P68" s="72"/>
      <c r="Q68" s="72"/>
      <c r="R68" s="72"/>
      <c r="S68" s="72"/>
      <c r="T68" s="72"/>
      <c r="U68" s="72"/>
      <c r="V68" s="72"/>
      <c r="W68" s="72"/>
      <c r="X68" s="72">
        <v>70</v>
      </c>
      <c r="Y68" s="72"/>
      <c r="Z68" s="72"/>
      <c r="AA68" s="72"/>
      <c r="AB68" s="72"/>
      <c r="AC68" s="72">
        <f>N68*AG68*X68*0.01</f>
        <v>1968.75</v>
      </c>
      <c r="AD68" s="72">
        <f>$AC68*0.4089</f>
        <v>805.02187500000002</v>
      </c>
      <c r="AE68" s="72">
        <f>$AC68*0.0263</f>
        <v>51.778125000000003</v>
      </c>
      <c r="AF68" s="72"/>
      <c r="AG68" s="72">
        <v>1500</v>
      </c>
      <c r="AI68" s="72"/>
      <c r="AJ68" s="72"/>
      <c r="AK68" s="72"/>
      <c r="AL68" s="72"/>
    </row>
    <row r="69" spans="1:38">
      <c r="A69" s="65">
        <v>68</v>
      </c>
      <c r="B69" s="145">
        <v>2003</v>
      </c>
      <c r="C69" s="79" t="s">
        <v>136</v>
      </c>
      <c r="D69" s="67" t="s">
        <v>105</v>
      </c>
      <c r="E69" s="67" t="s">
        <v>23</v>
      </c>
      <c r="F69" s="67" t="s">
        <v>33</v>
      </c>
      <c r="G69" s="67" t="s">
        <v>34</v>
      </c>
      <c r="H69" s="68">
        <v>37837</v>
      </c>
      <c r="I69" s="68">
        <v>37838</v>
      </c>
      <c r="J69" s="69">
        <v>3</v>
      </c>
      <c r="K69" s="70">
        <v>3.2</v>
      </c>
      <c r="L69" s="48">
        <v>3</v>
      </c>
      <c r="M69" s="48"/>
      <c r="N69" s="71">
        <f>IF(L69/K69&gt;0, L69/K69,"")</f>
        <v>0.9375</v>
      </c>
      <c r="O69" s="48" t="s">
        <v>65</v>
      </c>
      <c r="P69" s="72"/>
      <c r="Q69" s="72"/>
      <c r="R69" s="72"/>
      <c r="S69" s="72"/>
      <c r="T69" s="72"/>
      <c r="U69" s="72"/>
      <c r="V69" s="72"/>
      <c r="W69" s="72"/>
      <c r="X69" s="72">
        <v>37</v>
      </c>
      <c r="Y69" s="72"/>
      <c r="Z69" s="72"/>
      <c r="AA69" s="72"/>
      <c r="AB69" s="72"/>
      <c r="AC69" s="72">
        <f>N69*AG69*X69*0.01</f>
        <v>1040.625</v>
      </c>
      <c r="AD69" s="72">
        <f>$AC69*0.4089</f>
        <v>425.51156249999997</v>
      </c>
      <c r="AE69" s="72">
        <f>$AC69*0.0263</f>
        <v>27.368437499999999</v>
      </c>
      <c r="AF69" s="72"/>
      <c r="AG69" s="72">
        <v>3000</v>
      </c>
      <c r="AI69" s="72"/>
      <c r="AJ69" s="72"/>
      <c r="AK69" s="72"/>
      <c r="AL69" s="72"/>
    </row>
    <row r="70" spans="1:38">
      <c r="A70" s="65">
        <v>69</v>
      </c>
      <c r="B70" s="145">
        <v>2003</v>
      </c>
      <c r="C70" s="79" t="s">
        <v>136</v>
      </c>
      <c r="D70" s="67" t="s">
        <v>105</v>
      </c>
      <c r="E70" s="67" t="s">
        <v>15</v>
      </c>
      <c r="F70" s="67" t="s">
        <v>35</v>
      </c>
      <c r="G70" s="67" t="s">
        <v>46</v>
      </c>
      <c r="H70" s="68">
        <v>37840</v>
      </c>
      <c r="I70" s="68"/>
      <c r="K70" s="70">
        <v>3.2</v>
      </c>
      <c r="L70" s="48">
        <v>150</v>
      </c>
      <c r="M70" s="48"/>
      <c r="N70" s="71">
        <f>IF(L70/K70&gt;0, L70/K70,"")</f>
        <v>46.875</v>
      </c>
      <c r="O70" s="48" t="s">
        <v>5</v>
      </c>
      <c r="P70" s="72">
        <v>53.075000000000003</v>
      </c>
      <c r="Q70" s="72">
        <v>23.815000000000001</v>
      </c>
      <c r="R70" s="76">
        <v>0.5</v>
      </c>
      <c r="S70" s="72">
        <v>442.38499999999999</v>
      </c>
      <c r="T70" s="73">
        <v>9.36</v>
      </c>
      <c r="U70" s="72">
        <f>N70*1000*X70/100</f>
        <v>1443.75</v>
      </c>
      <c r="V70" s="72">
        <f>S70*U70/1000</f>
        <v>638.69334375000005</v>
      </c>
      <c r="W70" s="72">
        <f>P70*U70/1000</f>
        <v>76.627031250000002</v>
      </c>
      <c r="X70" s="72">
        <v>3.08</v>
      </c>
      <c r="Y70" s="72">
        <v>32.8125</v>
      </c>
      <c r="Z70" s="73">
        <v>18.75</v>
      </c>
      <c r="AA70" s="73">
        <v>84.375</v>
      </c>
      <c r="AB70" s="73">
        <v>4.6875</v>
      </c>
      <c r="AC70" s="72"/>
      <c r="AD70" s="72">
        <f>$N70*1000*$X70*0.01*$S70*0.001</f>
        <v>638.69334375000005</v>
      </c>
      <c r="AE70" s="72">
        <f>$N70*1000*$X70*0.01*$P70*0.001</f>
        <v>76.627031250000002</v>
      </c>
      <c r="AF70" s="72"/>
      <c r="AG70" s="72"/>
      <c r="AH70" s="74"/>
      <c r="AI70" s="72"/>
      <c r="AJ70" s="72"/>
      <c r="AK70" s="72"/>
      <c r="AL70" s="72"/>
    </row>
    <row r="71" spans="1:38">
      <c r="A71" s="65">
        <v>70</v>
      </c>
      <c r="B71" s="145">
        <v>2003</v>
      </c>
      <c r="C71" s="79" t="s">
        <v>136</v>
      </c>
      <c r="D71" s="67" t="s">
        <v>105</v>
      </c>
      <c r="E71" s="67" t="s">
        <v>23</v>
      </c>
      <c r="F71" s="67" t="s">
        <v>33</v>
      </c>
      <c r="G71" s="75" t="s">
        <v>34</v>
      </c>
      <c r="H71" s="68">
        <v>37877</v>
      </c>
      <c r="I71" s="68">
        <v>37880</v>
      </c>
      <c r="J71" s="69">
        <v>4</v>
      </c>
      <c r="K71" s="70">
        <v>3.2</v>
      </c>
      <c r="L71" s="48">
        <v>1.5</v>
      </c>
      <c r="M71" s="48"/>
      <c r="N71" s="71">
        <f>IF(L71/K71&gt;0, L71/K71,"")</f>
        <v>0.46875</v>
      </c>
      <c r="O71" s="48" t="s">
        <v>65</v>
      </c>
      <c r="P71" s="72"/>
      <c r="Q71" s="72"/>
      <c r="R71" s="72"/>
      <c r="S71" s="72"/>
      <c r="T71" s="72"/>
      <c r="U71" s="72"/>
      <c r="V71" s="72"/>
      <c r="W71" s="72"/>
      <c r="X71" s="72">
        <v>37</v>
      </c>
      <c r="Y71" s="72"/>
      <c r="Z71" s="72"/>
      <c r="AA71" s="72"/>
      <c r="AB71" s="72"/>
      <c r="AC71" s="72">
        <f>N71*AG71*X71*0.01</f>
        <v>520.3125</v>
      </c>
      <c r="AD71" s="72">
        <f>$AC71*0.4089</f>
        <v>212.75578124999998</v>
      </c>
      <c r="AE71" s="72">
        <f>$AC71*0.0263</f>
        <v>13.684218749999999</v>
      </c>
      <c r="AF71" s="72"/>
      <c r="AG71" s="72">
        <v>3000</v>
      </c>
      <c r="AI71" s="72"/>
      <c r="AJ71" s="72"/>
      <c r="AK71" s="72"/>
      <c r="AL71" s="72"/>
    </row>
    <row r="72" spans="1:38">
      <c r="A72" s="65">
        <v>71</v>
      </c>
      <c r="B72" s="145">
        <v>2003</v>
      </c>
      <c r="C72" s="79" t="s">
        <v>136</v>
      </c>
      <c r="D72" s="67" t="s">
        <v>105</v>
      </c>
      <c r="E72" s="67" t="s">
        <v>24</v>
      </c>
      <c r="F72" s="67" t="s">
        <v>31</v>
      </c>
      <c r="G72" s="67" t="s">
        <v>117</v>
      </c>
      <c r="H72" s="68">
        <v>37886</v>
      </c>
      <c r="I72" s="68"/>
      <c r="K72" s="70">
        <v>3.2</v>
      </c>
      <c r="L72" s="48">
        <v>10</v>
      </c>
      <c r="M72" s="48"/>
      <c r="N72" s="71">
        <f>IF(L72/K72&gt;0, L72/K72,"")</f>
        <v>3.125</v>
      </c>
      <c r="O72" s="48" t="s">
        <v>6</v>
      </c>
      <c r="P72" s="72"/>
      <c r="Q72" s="72"/>
      <c r="R72" s="72"/>
      <c r="S72" s="72"/>
      <c r="T72" s="72"/>
      <c r="U72" s="72"/>
      <c r="V72" s="72"/>
      <c r="W72" s="72"/>
      <c r="X72" s="72"/>
      <c r="Y72" s="72"/>
      <c r="Z72" s="72"/>
      <c r="AA72" s="72"/>
      <c r="AB72" s="72"/>
      <c r="AC72" s="72"/>
      <c r="AD72" s="72"/>
      <c r="AE72" s="72"/>
      <c r="AF72" s="72"/>
      <c r="AG72" s="72"/>
      <c r="AH72" s="74"/>
      <c r="AI72" s="72"/>
      <c r="AJ72" s="72"/>
      <c r="AK72" s="72"/>
      <c r="AL72" s="72"/>
    </row>
    <row r="73" spans="1:38">
      <c r="A73" s="65">
        <v>72</v>
      </c>
      <c r="B73" s="145">
        <v>2003</v>
      </c>
      <c r="C73" s="79" t="s">
        <v>136</v>
      </c>
      <c r="D73" s="67" t="s">
        <v>105</v>
      </c>
      <c r="E73" s="67" t="s">
        <v>23</v>
      </c>
      <c r="F73" s="67" t="s">
        <v>27</v>
      </c>
      <c r="G73" s="67" t="s">
        <v>45</v>
      </c>
      <c r="H73" s="68">
        <v>37915</v>
      </c>
      <c r="I73" s="68">
        <v>37926</v>
      </c>
      <c r="J73" s="69">
        <v>5</v>
      </c>
      <c r="K73" s="70">
        <v>3.2</v>
      </c>
      <c r="L73" s="48">
        <v>16</v>
      </c>
      <c r="M73" s="48"/>
      <c r="N73" s="81">
        <v>30.303030303030301</v>
      </c>
      <c r="O73" s="82" t="s">
        <v>64</v>
      </c>
      <c r="P73" s="72"/>
      <c r="Q73" s="72"/>
      <c r="R73" s="72"/>
      <c r="S73" s="72"/>
      <c r="T73" s="72"/>
      <c r="U73" s="72"/>
      <c r="V73" s="72"/>
      <c r="W73" s="72"/>
      <c r="X73" s="72"/>
      <c r="Y73" s="72"/>
      <c r="Z73" s="72"/>
      <c r="AA73" s="72"/>
      <c r="AB73" s="72"/>
      <c r="AC73" s="72">
        <f>$N73*100</f>
        <v>3030.30303030303</v>
      </c>
      <c r="AD73" s="72">
        <f>$AC73*0.4089</f>
        <v>1239.090909090909</v>
      </c>
      <c r="AE73" s="72">
        <f>$AC73*0.0263</f>
        <v>79.696969696969688</v>
      </c>
      <c r="AF73" s="72">
        <v>11</v>
      </c>
      <c r="AG73" s="72">
        <v>1.5</v>
      </c>
      <c r="AI73" s="72"/>
      <c r="AJ73" s="72"/>
      <c r="AK73" s="72"/>
      <c r="AL73" s="72"/>
    </row>
    <row r="74" spans="1:38">
      <c r="A74" s="65">
        <v>73</v>
      </c>
      <c r="B74" s="145">
        <v>2003</v>
      </c>
      <c r="C74" s="79" t="s">
        <v>136</v>
      </c>
      <c r="D74" s="67" t="s">
        <v>105</v>
      </c>
      <c r="E74" s="67" t="s">
        <v>23</v>
      </c>
      <c r="F74" s="67" t="s">
        <v>27</v>
      </c>
      <c r="G74" s="67" t="s">
        <v>45</v>
      </c>
      <c r="H74" s="68">
        <v>37940</v>
      </c>
      <c r="I74" s="68">
        <v>37970</v>
      </c>
      <c r="K74" s="70">
        <v>3.2</v>
      </c>
      <c r="L74" s="48">
        <v>48</v>
      </c>
      <c r="M74" s="48"/>
      <c r="N74" s="81">
        <v>33.333333333333336</v>
      </c>
      <c r="O74" s="82" t="s">
        <v>64</v>
      </c>
      <c r="P74" s="72"/>
      <c r="Q74" s="72"/>
      <c r="R74" s="72"/>
      <c r="S74" s="72"/>
      <c r="T74" s="72"/>
      <c r="U74" s="72"/>
      <c r="V74" s="72"/>
      <c r="W74" s="72"/>
      <c r="X74" s="72"/>
      <c r="Y74" s="72"/>
      <c r="Z74" s="72"/>
      <c r="AA74" s="72"/>
      <c r="AB74" s="72"/>
      <c r="AC74" s="72">
        <f>$N74*100</f>
        <v>3333.3333333333335</v>
      </c>
      <c r="AD74" s="72">
        <f>$AC74*0.4089</f>
        <v>1363</v>
      </c>
      <c r="AE74" s="72">
        <f>$AC74*0.0263</f>
        <v>87.666666666666671</v>
      </c>
      <c r="AF74" s="72">
        <v>30</v>
      </c>
      <c r="AG74" s="72">
        <v>1.5</v>
      </c>
      <c r="AI74" s="72"/>
      <c r="AJ74" s="72"/>
      <c r="AK74" s="72"/>
      <c r="AL74" s="72"/>
    </row>
    <row r="75" spans="1:38">
      <c r="A75" s="65">
        <v>74</v>
      </c>
      <c r="B75" s="145">
        <v>2003</v>
      </c>
      <c r="C75" s="79" t="s">
        <v>136</v>
      </c>
      <c r="D75" s="67" t="s">
        <v>105</v>
      </c>
      <c r="E75" s="67" t="s">
        <v>15</v>
      </c>
      <c r="F75" s="67" t="s">
        <v>35</v>
      </c>
      <c r="G75" s="67" t="s">
        <v>46</v>
      </c>
      <c r="H75" s="68">
        <v>37949</v>
      </c>
      <c r="I75" s="68"/>
      <c r="K75" s="70">
        <v>3.2</v>
      </c>
      <c r="L75" s="48">
        <v>115</v>
      </c>
      <c r="M75" s="48"/>
      <c r="N75" s="71">
        <f>IF(L75/K75&gt;0, L75/K75,"")</f>
        <v>35.9375</v>
      </c>
      <c r="O75" s="48" t="s">
        <v>5</v>
      </c>
      <c r="P75" s="72">
        <v>53.075000000000003</v>
      </c>
      <c r="Q75" s="72">
        <v>23.815000000000001</v>
      </c>
      <c r="R75" s="76">
        <v>0.5</v>
      </c>
      <c r="S75" s="72">
        <v>442.38499999999999</v>
      </c>
      <c r="T75" s="73">
        <v>9.36</v>
      </c>
      <c r="U75" s="72">
        <f>N75*1000*X75/100</f>
        <v>1106.875</v>
      </c>
      <c r="V75" s="72">
        <f>S75*U75/1000</f>
        <v>489.66489687499995</v>
      </c>
      <c r="W75" s="72">
        <f>P75*U75/1000</f>
        <v>58.747390625000001</v>
      </c>
      <c r="X75" s="72">
        <v>3.08</v>
      </c>
      <c r="Y75" s="72">
        <v>50.312500000000007</v>
      </c>
      <c r="Z75" s="73">
        <v>21.562500000000004</v>
      </c>
      <c r="AA75" s="73">
        <v>115.00000000000001</v>
      </c>
      <c r="AB75" s="73">
        <v>7.1875000000000009</v>
      </c>
      <c r="AC75" s="72"/>
      <c r="AD75" s="72">
        <f>$N75*1000*$X75*0.01*$S75*0.001</f>
        <v>489.66489687500001</v>
      </c>
      <c r="AE75" s="72">
        <f>$N75*1000*$X75*0.01*$P75*0.001</f>
        <v>58.747390625000001</v>
      </c>
      <c r="AF75" s="72"/>
      <c r="AG75" s="72"/>
      <c r="AH75" s="74"/>
      <c r="AI75" s="72"/>
      <c r="AJ75" s="72"/>
      <c r="AK75" s="72"/>
      <c r="AL75" s="72"/>
    </row>
    <row r="76" spans="1:38">
      <c r="A76" s="65">
        <v>75</v>
      </c>
      <c r="B76" s="146">
        <v>2004</v>
      </c>
      <c r="C76" s="66" t="s">
        <v>135</v>
      </c>
      <c r="D76" s="67" t="s">
        <v>105</v>
      </c>
      <c r="E76" s="67" t="s">
        <v>15</v>
      </c>
      <c r="F76" s="67" t="s">
        <v>35</v>
      </c>
      <c r="G76" s="67" t="s">
        <v>44</v>
      </c>
      <c r="H76" s="68">
        <v>38033</v>
      </c>
      <c r="I76" s="68"/>
      <c r="K76" s="70">
        <v>1.32</v>
      </c>
      <c r="L76" s="48">
        <v>36</v>
      </c>
      <c r="M76" s="48"/>
      <c r="N76" s="71">
        <f>IF(L76/K76&gt;0, L76/K76,"")</f>
        <v>27.27272727272727</v>
      </c>
      <c r="O76" s="48" t="s">
        <v>2</v>
      </c>
      <c r="P76" s="72">
        <v>32.07</v>
      </c>
      <c r="Q76" s="72">
        <v>3.6</v>
      </c>
      <c r="R76" s="76">
        <v>0.5</v>
      </c>
      <c r="S76" s="72">
        <v>458.62</v>
      </c>
      <c r="T76" s="73">
        <v>14.3</v>
      </c>
      <c r="U76" s="72">
        <f>N76*1000*X76/100</f>
        <v>4557.272727272727</v>
      </c>
      <c r="V76" s="72">
        <f>S76*U76/1000</f>
        <v>2090.0564181818181</v>
      </c>
      <c r="W76" s="72">
        <f>U76*P76/1000</f>
        <v>146.15173636363636</v>
      </c>
      <c r="X76" s="72">
        <v>16.71</v>
      </c>
      <c r="Y76" s="72" t="s">
        <v>1</v>
      </c>
      <c r="Z76" s="73" t="s">
        <v>1</v>
      </c>
      <c r="AA76" s="73" t="s">
        <v>1</v>
      </c>
      <c r="AB76" s="73" t="s">
        <v>1</v>
      </c>
      <c r="AC76" s="72"/>
      <c r="AD76" s="72">
        <f>$N76*1000*$X76*0.01*$S76*0.001</f>
        <v>2090.0564181818181</v>
      </c>
      <c r="AE76" s="72">
        <f>$N76*1000*$X76*0.01*$P76*0.001</f>
        <v>146.15173636363636</v>
      </c>
      <c r="AF76" s="72"/>
      <c r="AG76" s="72"/>
      <c r="AH76" s="74"/>
      <c r="AI76" s="72"/>
      <c r="AJ76" s="72"/>
      <c r="AK76" s="72"/>
      <c r="AL76" s="72"/>
    </row>
    <row r="77" spans="1:38">
      <c r="A77" s="65">
        <v>76</v>
      </c>
      <c r="B77" s="146">
        <v>2004</v>
      </c>
      <c r="C77" s="66" t="s">
        <v>135</v>
      </c>
      <c r="D77" s="67" t="s">
        <v>105</v>
      </c>
      <c r="E77" s="67" t="s">
        <v>23</v>
      </c>
      <c r="F77" s="67" t="s">
        <v>33</v>
      </c>
      <c r="G77" s="67" t="s">
        <v>34</v>
      </c>
      <c r="H77" s="68">
        <v>38122</v>
      </c>
      <c r="I77" s="68"/>
      <c r="J77" s="69">
        <v>1</v>
      </c>
      <c r="K77" s="70">
        <v>1.32</v>
      </c>
      <c r="L77" s="48">
        <v>3</v>
      </c>
      <c r="M77" s="48"/>
      <c r="N77" s="71">
        <f>IF(L77/K77&gt;0, L77/K77,"")</f>
        <v>2.2727272727272725</v>
      </c>
      <c r="O77" s="48" t="s">
        <v>65</v>
      </c>
      <c r="P77" s="72"/>
      <c r="Q77" s="72"/>
      <c r="R77" s="72"/>
      <c r="S77" s="72"/>
      <c r="T77" s="72"/>
      <c r="U77" s="72"/>
      <c r="V77" s="72"/>
      <c r="W77" s="72"/>
      <c r="X77" s="72">
        <v>37</v>
      </c>
      <c r="Y77" s="72"/>
      <c r="Z77" s="72"/>
      <c r="AA77" s="72"/>
      <c r="AB77" s="72"/>
      <c r="AC77" s="72">
        <f>N77*AG77*X77*0.01</f>
        <v>1.2613636363636362</v>
      </c>
      <c r="AD77" s="72">
        <f>AC77*0.4089</f>
        <v>0.51577159090909086</v>
      </c>
      <c r="AE77" s="72">
        <f>AC77*0.0263</f>
        <v>3.3173863636363633E-2</v>
      </c>
      <c r="AF77" s="72"/>
      <c r="AG77" s="72">
        <v>1.5</v>
      </c>
      <c r="AI77" s="72"/>
      <c r="AJ77" s="72"/>
      <c r="AK77" s="72"/>
      <c r="AL77" s="72"/>
    </row>
    <row r="78" spans="1:38">
      <c r="A78" s="65">
        <v>77</v>
      </c>
      <c r="B78" s="146">
        <v>2004</v>
      </c>
      <c r="C78" s="66" t="s">
        <v>135</v>
      </c>
      <c r="D78" s="67" t="s">
        <v>105</v>
      </c>
      <c r="E78" s="67" t="s">
        <v>23</v>
      </c>
      <c r="F78" s="67" t="s">
        <v>27</v>
      </c>
      <c r="G78" s="67" t="s">
        <v>45</v>
      </c>
      <c r="H78" s="68">
        <v>38152</v>
      </c>
      <c r="I78" s="68">
        <v>38160</v>
      </c>
      <c r="J78" s="69">
        <v>2</v>
      </c>
      <c r="K78" s="70">
        <v>1.32</v>
      </c>
      <c r="L78" s="48">
        <v>22</v>
      </c>
      <c r="M78" s="48"/>
      <c r="N78" s="81">
        <v>138.888888888889</v>
      </c>
      <c r="O78" s="82" t="s">
        <v>64</v>
      </c>
      <c r="P78" s="72"/>
      <c r="Q78" s="72"/>
      <c r="R78" s="72"/>
      <c r="S78" s="72"/>
      <c r="T78" s="72"/>
      <c r="U78" s="72"/>
      <c r="V78" s="72"/>
      <c r="W78" s="72"/>
      <c r="X78" s="72"/>
      <c r="Y78" s="72"/>
      <c r="Z78" s="72"/>
      <c r="AA78" s="72"/>
      <c r="AB78" s="72"/>
      <c r="AC78" s="72">
        <f>$N78*100</f>
        <v>13888.8888888889</v>
      </c>
      <c r="AD78" s="72">
        <f>$AC78*0.4089</f>
        <v>5679.1666666666706</v>
      </c>
      <c r="AE78" s="72">
        <f>$N78*100*0.0263</f>
        <v>365.27777777777806</v>
      </c>
      <c r="AF78" s="72">
        <v>8</v>
      </c>
      <c r="AG78" s="72">
        <v>1.5</v>
      </c>
      <c r="AI78" s="72"/>
      <c r="AJ78" s="72"/>
      <c r="AK78" s="72"/>
      <c r="AL78" s="72"/>
    </row>
    <row r="79" spans="1:38">
      <c r="A79" s="65">
        <v>78</v>
      </c>
      <c r="B79" s="146">
        <v>2004</v>
      </c>
      <c r="C79" s="66" t="s">
        <v>135</v>
      </c>
      <c r="D79" s="67" t="s">
        <v>105</v>
      </c>
      <c r="E79" s="67" t="s">
        <v>23</v>
      </c>
      <c r="F79" s="67" t="s">
        <v>27</v>
      </c>
      <c r="G79" s="67" t="s">
        <v>42</v>
      </c>
      <c r="H79" s="68">
        <v>38181</v>
      </c>
      <c r="I79" s="68">
        <v>38187</v>
      </c>
      <c r="J79" s="69">
        <v>3</v>
      </c>
      <c r="K79" s="70">
        <v>1.32</v>
      </c>
      <c r="L79" s="48">
        <v>25</v>
      </c>
      <c r="M79" s="48"/>
      <c r="N79" s="81">
        <v>5.0912349299446067</v>
      </c>
      <c r="O79" s="82" t="s">
        <v>64</v>
      </c>
      <c r="P79" s="72"/>
      <c r="Q79" s="72"/>
      <c r="R79" s="72"/>
      <c r="S79" s="72"/>
      <c r="T79" s="72"/>
      <c r="U79" s="72"/>
      <c r="V79" s="72"/>
      <c r="W79" s="72"/>
      <c r="X79" s="72"/>
      <c r="Y79" s="72"/>
      <c r="Z79" s="72"/>
      <c r="AA79" s="72"/>
      <c r="AB79" s="72"/>
      <c r="AC79" s="72">
        <f>$N79*100</f>
        <v>509.12349299446066</v>
      </c>
      <c r="AD79" s="72">
        <f>$AC79*0.4089</f>
        <v>208.18059628543494</v>
      </c>
      <c r="AE79" s="72">
        <f>$N79*100*0.0263</f>
        <v>13.389947865754316</v>
      </c>
      <c r="AF79" s="72">
        <v>31</v>
      </c>
      <c r="AG79" s="72">
        <v>12</v>
      </c>
      <c r="AI79" s="72"/>
      <c r="AJ79" s="72"/>
      <c r="AK79" s="72"/>
      <c r="AL79" s="72"/>
    </row>
    <row r="80" spans="1:38">
      <c r="A80" s="65">
        <v>79</v>
      </c>
      <c r="B80" s="146">
        <v>2004</v>
      </c>
      <c r="C80" s="66" t="s">
        <v>135</v>
      </c>
      <c r="D80" s="67" t="s">
        <v>105</v>
      </c>
      <c r="E80" s="67" t="s">
        <v>23</v>
      </c>
      <c r="F80" s="67" t="s">
        <v>33</v>
      </c>
      <c r="G80" s="67" t="s">
        <v>34</v>
      </c>
      <c r="H80" s="68">
        <v>38196</v>
      </c>
      <c r="I80" s="68"/>
      <c r="J80" s="69">
        <v>3</v>
      </c>
      <c r="K80" s="70">
        <v>1.32</v>
      </c>
      <c r="L80" s="48">
        <v>2</v>
      </c>
      <c r="M80" s="48"/>
      <c r="N80" s="71">
        <f>IF(L80/K80&gt;0, L80/K80,"")</f>
        <v>1.5151515151515151</v>
      </c>
      <c r="O80" s="48" t="s">
        <v>65</v>
      </c>
      <c r="P80" s="72"/>
      <c r="Q80" s="72"/>
      <c r="R80" s="72"/>
      <c r="S80" s="72"/>
      <c r="T80" s="72"/>
      <c r="U80" s="72"/>
      <c r="V80" s="72"/>
      <c r="W80" s="72"/>
      <c r="X80" s="72">
        <v>37</v>
      </c>
      <c r="Y80" s="72"/>
      <c r="Z80" s="72"/>
      <c r="AA80" s="72"/>
      <c r="AB80" s="72"/>
      <c r="AC80" s="72">
        <f>N80*AG80*X80*0.01</f>
        <v>1681.8181818181818</v>
      </c>
      <c r="AD80" s="72">
        <f>AC80*0.4089</f>
        <v>687.69545454545448</v>
      </c>
      <c r="AE80" s="72">
        <f>AC80*0.0263</f>
        <v>44.231818181818184</v>
      </c>
      <c r="AF80" s="72"/>
      <c r="AG80" s="72">
        <v>3000</v>
      </c>
      <c r="AI80" s="72"/>
      <c r="AJ80" s="72"/>
      <c r="AK80" s="72"/>
      <c r="AL80" s="72"/>
    </row>
    <row r="81" spans="1:38">
      <c r="A81" s="65">
        <v>80</v>
      </c>
      <c r="B81" s="146">
        <v>2004</v>
      </c>
      <c r="C81" s="66" t="s">
        <v>135</v>
      </c>
      <c r="D81" s="67" t="s">
        <v>105</v>
      </c>
      <c r="E81" s="67" t="s">
        <v>23</v>
      </c>
      <c r="F81" s="67" t="s">
        <v>33</v>
      </c>
      <c r="G81" s="67" t="s">
        <v>34</v>
      </c>
      <c r="H81" s="68">
        <v>38232</v>
      </c>
      <c r="I81" s="68"/>
      <c r="J81" s="69">
        <v>4</v>
      </c>
      <c r="K81" s="70">
        <v>1.32</v>
      </c>
      <c r="L81" s="48">
        <v>3</v>
      </c>
      <c r="M81" s="48"/>
      <c r="N81" s="71">
        <f>IF(L81/K81&gt;0, L81/K81,"")</f>
        <v>2.2727272727272725</v>
      </c>
      <c r="O81" s="48" t="s">
        <v>65</v>
      </c>
      <c r="P81" s="72"/>
      <c r="Q81" s="72"/>
      <c r="R81" s="72"/>
      <c r="S81" s="72"/>
      <c r="T81" s="72"/>
      <c r="U81" s="72"/>
      <c r="V81" s="72"/>
      <c r="W81" s="72"/>
      <c r="X81" s="72">
        <v>37</v>
      </c>
      <c r="Y81" s="72"/>
      <c r="Z81" s="72"/>
      <c r="AA81" s="72"/>
      <c r="AB81" s="72"/>
      <c r="AC81" s="72">
        <f>N81*AG81*X81*0.01</f>
        <v>2522.7272727272725</v>
      </c>
      <c r="AD81" s="72">
        <f>AC81*0.4089</f>
        <v>1031.5431818181817</v>
      </c>
      <c r="AE81" s="72">
        <f>AC81*0.0263</f>
        <v>66.347727272727269</v>
      </c>
      <c r="AF81" s="72"/>
      <c r="AG81" s="72">
        <v>3000</v>
      </c>
      <c r="AI81" s="72"/>
      <c r="AJ81" s="72"/>
      <c r="AK81" s="72"/>
      <c r="AL81" s="72"/>
    </row>
    <row r="82" spans="1:38">
      <c r="A82" s="65">
        <v>81</v>
      </c>
      <c r="B82" s="146">
        <v>2004</v>
      </c>
      <c r="C82" s="66" t="s">
        <v>135</v>
      </c>
      <c r="D82" s="67" t="s">
        <v>105</v>
      </c>
      <c r="E82" s="67" t="s">
        <v>23</v>
      </c>
      <c r="F82" s="67" t="s">
        <v>33</v>
      </c>
      <c r="G82" s="67" t="s">
        <v>34</v>
      </c>
      <c r="H82" s="68">
        <v>38264</v>
      </c>
      <c r="I82" s="68">
        <v>38265</v>
      </c>
      <c r="J82" s="69">
        <v>5</v>
      </c>
      <c r="K82" s="70">
        <v>1.32</v>
      </c>
      <c r="L82" s="48">
        <v>3</v>
      </c>
      <c r="M82" s="48"/>
      <c r="N82" s="71">
        <f>IF(L82/K82&gt;0, L82/K82,"")</f>
        <v>2.2727272727272725</v>
      </c>
      <c r="O82" s="83" t="s">
        <v>68</v>
      </c>
      <c r="P82" s="72"/>
      <c r="Q82" s="72"/>
      <c r="R82" s="72"/>
      <c r="S82" s="72"/>
      <c r="T82" s="72"/>
      <c r="U82" s="72"/>
      <c r="V82" s="72"/>
      <c r="W82" s="72"/>
      <c r="X82" s="72">
        <v>37</v>
      </c>
      <c r="Y82" s="72"/>
      <c r="Z82" s="72"/>
      <c r="AA82" s="72"/>
      <c r="AB82" s="72"/>
      <c r="AC82" s="72">
        <f>N82*AG82*X82*0.01</f>
        <v>517.15909090909076</v>
      </c>
      <c r="AD82" s="72">
        <f>AC82*0.4089</f>
        <v>211.46635227272719</v>
      </c>
      <c r="AE82" s="72">
        <f>AC82*0.0263</f>
        <v>13.601284090909088</v>
      </c>
      <c r="AF82" s="72"/>
      <c r="AG82" s="72">
        <v>615</v>
      </c>
      <c r="AI82" s="72"/>
      <c r="AJ82" s="72"/>
      <c r="AK82" s="72"/>
      <c r="AL82" s="72"/>
    </row>
    <row r="83" spans="1:38">
      <c r="A83" s="65">
        <v>82</v>
      </c>
      <c r="B83" s="146">
        <v>2004</v>
      </c>
      <c r="C83" s="66" t="s">
        <v>135</v>
      </c>
      <c r="D83" s="67" t="s">
        <v>105</v>
      </c>
      <c r="E83" s="67" t="s">
        <v>15</v>
      </c>
      <c r="F83" s="67" t="s">
        <v>35</v>
      </c>
      <c r="G83" s="67" t="s">
        <v>46</v>
      </c>
      <c r="H83" s="68">
        <v>38273</v>
      </c>
      <c r="I83" s="68"/>
      <c r="K83" s="70">
        <v>1.32</v>
      </c>
      <c r="L83" s="48">
        <v>56.6</v>
      </c>
      <c r="M83" s="48"/>
      <c r="N83" s="71">
        <f>IF(L83/K83&gt;0, L83/K83,"")</f>
        <v>42.878787878787875</v>
      </c>
      <c r="O83" s="48" t="s">
        <v>5</v>
      </c>
      <c r="P83" s="72">
        <v>53.075000000000003</v>
      </c>
      <c r="Q83" s="72">
        <v>23.815000000000001</v>
      </c>
      <c r="R83" s="76">
        <v>0.5</v>
      </c>
      <c r="S83" s="72">
        <v>442.38499999999999</v>
      </c>
      <c r="T83" s="73">
        <v>9.36</v>
      </c>
      <c r="U83" s="72">
        <f>N83*1000*X83/100</f>
        <v>1320.6666666666665</v>
      </c>
      <c r="V83" s="72">
        <f>S83*U83/1000</f>
        <v>584.2431233333333</v>
      </c>
      <c r="W83" s="72">
        <f>P83*U83/1000</f>
        <v>70.094383333333326</v>
      </c>
      <c r="X83" s="72">
        <v>3.08</v>
      </c>
      <c r="Y83" s="72">
        <v>30</v>
      </c>
      <c r="Z83" s="73">
        <v>26</v>
      </c>
      <c r="AA83" s="73">
        <v>111</v>
      </c>
      <c r="AB83" s="73">
        <v>4</v>
      </c>
      <c r="AC83" s="72"/>
      <c r="AD83" s="72">
        <f>$N83*1000*$X83*0.01*$S83*0.001</f>
        <v>584.2431233333333</v>
      </c>
      <c r="AE83" s="72">
        <f>$N83*1000*$X83*0.01*$P83*0.001</f>
        <v>70.094383333333326</v>
      </c>
      <c r="AF83" s="72"/>
      <c r="AG83" s="72"/>
      <c r="AH83" s="74"/>
      <c r="AI83" s="72"/>
      <c r="AJ83" s="72"/>
      <c r="AK83" s="72"/>
      <c r="AL83" s="72"/>
    </row>
    <row r="84" spans="1:38">
      <c r="A84" s="65">
        <v>83</v>
      </c>
      <c r="B84" s="146">
        <v>2004</v>
      </c>
      <c r="C84" s="66" t="s">
        <v>135</v>
      </c>
      <c r="D84" s="67" t="s">
        <v>105</v>
      </c>
      <c r="E84" s="67" t="s">
        <v>15</v>
      </c>
      <c r="F84" s="67" t="s">
        <v>35</v>
      </c>
      <c r="G84" s="67" t="s">
        <v>46</v>
      </c>
      <c r="H84" s="68">
        <v>38299</v>
      </c>
      <c r="I84" s="68"/>
      <c r="K84" s="70">
        <v>1.32</v>
      </c>
      <c r="L84" s="48">
        <v>44.2</v>
      </c>
      <c r="M84" s="48"/>
      <c r="N84" s="71">
        <f>IF(L84/K84&gt;0, L84/K84,"")</f>
        <v>33.484848484848484</v>
      </c>
      <c r="O84" s="48" t="s">
        <v>5</v>
      </c>
      <c r="P84" s="72">
        <v>53.075000000000003</v>
      </c>
      <c r="Q84" s="72">
        <v>23.815000000000001</v>
      </c>
      <c r="R84" s="76">
        <v>0.5</v>
      </c>
      <c r="S84" s="72">
        <v>442.38499999999999</v>
      </c>
      <c r="T84" s="73">
        <v>9.36</v>
      </c>
      <c r="U84" s="72">
        <f>N84*1000*X84/100</f>
        <v>1031.3333333333335</v>
      </c>
      <c r="V84" s="72">
        <f>S84*U84/1000</f>
        <v>456.24639666666673</v>
      </c>
      <c r="W84" s="72">
        <f>P84*U84/1000</f>
        <v>54.738016666666674</v>
      </c>
      <c r="X84" s="72">
        <v>3.08</v>
      </c>
      <c r="Y84" s="72">
        <v>23</v>
      </c>
      <c r="Z84" s="73">
        <v>20</v>
      </c>
      <c r="AA84" s="73">
        <v>87</v>
      </c>
      <c r="AB84" s="73">
        <v>3</v>
      </c>
      <c r="AC84" s="72"/>
      <c r="AD84" s="72">
        <f>$N84*1000*$X84*0.01*$S84*0.001</f>
        <v>456.24639666666673</v>
      </c>
      <c r="AE84" s="72">
        <f>$N84*1000*$X84*0.01*$P84*0.001</f>
        <v>54.738016666666681</v>
      </c>
      <c r="AF84" s="72"/>
      <c r="AG84" s="72"/>
      <c r="AH84" s="74"/>
      <c r="AI84" s="72"/>
      <c r="AJ84" s="72"/>
      <c r="AK84" s="72"/>
      <c r="AL84" s="72"/>
    </row>
    <row r="85" spans="1:38">
      <c r="A85" s="65">
        <v>84</v>
      </c>
      <c r="B85" s="146">
        <v>2004</v>
      </c>
      <c r="C85" s="66" t="s">
        <v>135</v>
      </c>
      <c r="D85" s="67" t="s">
        <v>105</v>
      </c>
      <c r="E85" s="67" t="s">
        <v>23</v>
      </c>
      <c r="F85" s="67" t="s">
        <v>27</v>
      </c>
      <c r="G85" s="67" t="s">
        <v>45</v>
      </c>
      <c r="H85" s="68">
        <v>38306</v>
      </c>
      <c r="I85" s="68">
        <v>38336</v>
      </c>
      <c r="J85" s="69">
        <v>6</v>
      </c>
      <c r="K85" s="70">
        <v>1.32</v>
      </c>
      <c r="L85" s="71">
        <v>80</v>
      </c>
      <c r="M85" s="71"/>
      <c r="N85" s="71">
        <f>L85/K85</f>
        <v>60.606060606060602</v>
      </c>
      <c r="O85" s="48" t="s">
        <v>64</v>
      </c>
      <c r="P85" s="72"/>
      <c r="Q85" s="72"/>
      <c r="R85" s="72"/>
      <c r="S85" s="72"/>
      <c r="T85" s="72"/>
      <c r="U85" s="72"/>
      <c r="V85" s="72"/>
      <c r="W85" s="72"/>
      <c r="X85" s="72"/>
      <c r="Y85" s="72"/>
      <c r="Z85" s="72"/>
      <c r="AA85" s="72"/>
      <c r="AB85" s="72"/>
      <c r="AC85" s="72">
        <f>N85*AG85*AF85</f>
        <v>2727.272727272727</v>
      </c>
      <c r="AD85" s="72">
        <f>$AC85*0.4089</f>
        <v>1115.181818181818</v>
      </c>
      <c r="AE85" s="72">
        <f>$AC85*0.0263</f>
        <v>71.72727272727272</v>
      </c>
      <c r="AF85" s="72">
        <v>30</v>
      </c>
      <c r="AG85" s="72">
        <v>1.5</v>
      </c>
      <c r="AI85" s="72"/>
      <c r="AJ85" s="72"/>
      <c r="AK85" s="72"/>
      <c r="AL85" s="72"/>
    </row>
    <row r="86" spans="1:38">
      <c r="A86" s="65">
        <v>85</v>
      </c>
      <c r="B86" s="146">
        <v>2004</v>
      </c>
      <c r="C86" s="79" t="s">
        <v>136</v>
      </c>
      <c r="D86" s="67" t="s">
        <v>105</v>
      </c>
      <c r="E86" s="67" t="s">
        <v>15</v>
      </c>
      <c r="F86" s="67" t="s">
        <v>35</v>
      </c>
      <c r="G86" s="67" t="s">
        <v>44</v>
      </c>
      <c r="H86" s="68">
        <v>38037</v>
      </c>
      <c r="I86" s="68"/>
      <c r="K86" s="70">
        <v>3.34</v>
      </c>
      <c r="L86" s="48">
        <v>56</v>
      </c>
      <c r="M86" s="48"/>
      <c r="N86" s="71">
        <f>IF(L86/K86&gt;0, L86/K86,"")</f>
        <v>16.766467065868262</v>
      </c>
      <c r="O86" s="48" t="s">
        <v>2</v>
      </c>
      <c r="P86" s="72">
        <v>32.07</v>
      </c>
      <c r="Q86" s="72">
        <v>3.6</v>
      </c>
      <c r="R86" s="76">
        <v>0.5</v>
      </c>
      <c r="S86" s="72">
        <v>458.62</v>
      </c>
      <c r="T86" s="73">
        <v>14.3</v>
      </c>
      <c r="U86" s="72">
        <f>N86*1000*X86/100</f>
        <v>2801.6766467065872</v>
      </c>
      <c r="V86" s="72">
        <f>S86*U86/1000</f>
        <v>1284.9049437125752</v>
      </c>
      <c r="W86" s="72">
        <f>U86*P86/1000</f>
        <v>89.849770059880242</v>
      </c>
      <c r="X86" s="72">
        <v>16.71</v>
      </c>
      <c r="Y86" s="72">
        <v>25.149700598802397</v>
      </c>
      <c r="Z86" s="73">
        <v>36.886227544910184</v>
      </c>
      <c r="AA86" s="73">
        <v>181.07784431137728</v>
      </c>
      <c r="AB86" s="73">
        <v>15.089820359281438</v>
      </c>
      <c r="AC86" s="72"/>
      <c r="AD86" s="72">
        <f>$N86*1000*$X86*0.01*$S86*0.001</f>
        <v>1284.9049437125752</v>
      </c>
      <c r="AE86" s="72">
        <f>$N86*1000*$X86*0.01*$P86*0.001</f>
        <v>89.849770059880242</v>
      </c>
      <c r="AF86" s="72"/>
      <c r="AG86" s="72"/>
      <c r="AH86" s="74"/>
      <c r="AI86" s="72"/>
      <c r="AJ86" s="72"/>
      <c r="AK86" s="72"/>
      <c r="AL86" s="72"/>
    </row>
    <row r="87" spans="1:38">
      <c r="A87" s="65">
        <v>86</v>
      </c>
      <c r="B87" s="146">
        <v>2004</v>
      </c>
      <c r="C87" s="79" t="s">
        <v>136</v>
      </c>
      <c r="D87" s="67" t="s">
        <v>105</v>
      </c>
      <c r="E87" s="67" t="s">
        <v>24</v>
      </c>
      <c r="F87" s="67" t="s">
        <v>28</v>
      </c>
      <c r="G87" s="77" t="s">
        <v>124</v>
      </c>
      <c r="H87" s="68">
        <v>38074</v>
      </c>
      <c r="I87" s="68"/>
      <c r="K87" s="70">
        <v>3.34</v>
      </c>
      <c r="L87" s="48"/>
      <c r="M87" s="48"/>
      <c r="N87" s="72"/>
      <c r="P87" s="72"/>
      <c r="Q87" s="72"/>
      <c r="R87" s="72"/>
      <c r="S87" s="72"/>
      <c r="T87" s="72"/>
      <c r="U87" s="72"/>
      <c r="V87" s="72"/>
      <c r="W87" s="72"/>
      <c r="X87" s="72"/>
      <c r="Y87" s="72"/>
      <c r="Z87" s="72"/>
      <c r="AA87" s="72"/>
      <c r="AB87" s="72"/>
      <c r="AC87" s="72"/>
      <c r="AD87" s="72"/>
      <c r="AE87" s="72"/>
      <c r="AF87" s="72"/>
      <c r="AG87" s="72"/>
      <c r="AH87" s="74"/>
      <c r="AI87" s="72"/>
      <c r="AJ87" s="72"/>
      <c r="AK87" s="72"/>
      <c r="AL87" s="72"/>
    </row>
    <row r="88" spans="1:38">
      <c r="A88" s="65">
        <v>87</v>
      </c>
      <c r="B88" s="146">
        <v>2004</v>
      </c>
      <c r="C88" s="79" t="s">
        <v>136</v>
      </c>
      <c r="D88" s="67" t="s">
        <v>105</v>
      </c>
      <c r="E88" s="67" t="s">
        <v>24</v>
      </c>
      <c r="F88" s="67" t="s">
        <v>40</v>
      </c>
      <c r="G88" s="67"/>
      <c r="H88" s="68">
        <v>38075</v>
      </c>
      <c r="I88" s="68"/>
      <c r="K88" s="70">
        <v>3.34</v>
      </c>
      <c r="L88" s="48"/>
      <c r="M88" s="48"/>
      <c r="N88" s="71"/>
      <c r="P88" s="72"/>
      <c r="Q88" s="72"/>
      <c r="R88" s="72"/>
      <c r="S88" s="72"/>
      <c r="T88" s="72"/>
      <c r="U88" s="72"/>
      <c r="V88" s="72"/>
      <c r="W88" s="72"/>
      <c r="X88" s="72"/>
      <c r="Y88" s="72"/>
      <c r="Z88" s="72"/>
      <c r="AA88" s="72"/>
      <c r="AB88" s="72"/>
      <c r="AC88" s="72"/>
      <c r="AD88" s="72"/>
      <c r="AE88" s="72"/>
      <c r="AF88" s="72"/>
      <c r="AG88" s="72"/>
      <c r="AH88" s="74"/>
      <c r="AI88" s="72"/>
      <c r="AJ88" s="72"/>
      <c r="AK88" s="72"/>
      <c r="AL88" s="72"/>
    </row>
    <row r="89" spans="1:38">
      <c r="A89" s="65">
        <v>88</v>
      </c>
      <c r="B89" s="146">
        <v>2004</v>
      </c>
      <c r="C89" s="79" t="s">
        <v>136</v>
      </c>
      <c r="D89" s="67" t="s">
        <v>105</v>
      </c>
      <c r="E89" s="67" t="s">
        <v>21</v>
      </c>
      <c r="F89" s="67" t="s">
        <v>36</v>
      </c>
      <c r="G89" s="67" t="s">
        <v>48</v>
      </c>
      <c r="H89" s="68">
        <v>38075</v>
      </c>
      <c r="I89" s="68"/>
      <c r="K89" s="70">
        <v>3.34</v>
      </c>
      <c r="L89" s="48">
        <v>70</v>
      </c>
      <c r="M89" s="48"/>
      <c r="N89" s="71">
        <f t="shared" ref="N89:N99" si="2">IF(L89/K89&gt;0, L89/K89,"")</f>
        <v>20.95808383233533</v>
      </c>
      <c r="O89" s="48" t="s">
        <v>3</v>
      </c>
      <c r="P89" s="72"/>
      <c r="Q89" s="72"/>
      <c r="R89" s="72"/>
      <c r="S89" s="72"/>
      <c r="T89" s="72"/>
      <c r="U89" s="72"/>
      <c r="V89" s="72"/>
      <c r="W89" s="72"/>
      <c r="X89" s="72"/>
      <c r="Y89" s="72"/>
      <c r="Z89" s="72"/>
      <c r="AA89" s="72"/>
      <c r="AB89" s="72"/>
      <c r="AC89" s="72"/>
      <c r="AD89" s="72"/>
      <c r="AE89" s="72"/>
      <c r="AF89" s="72"/>
      <c r="AG89" s="72"/>
      <c r="AH89" s="74"/>
      <c r="AI89" s="72"/>
      <c r="AJ89" s="72"/>
      <c r="AK89" s="72"/>
      <c r="AL89" s="72"/>
    </row>
    <row r="90" spans="1:38">
      <c r="A90" s="65">
        <v>89</v>
      </c>
      <c r="B90" s="146">
        <v>2004</v>
      </c>
      <c r="C90" s="79" t="s">
        <v>136</v>
      </c>
      <c r="D90" s="67" t="s">
        <v>105</v>
      </c>
      <c r="E90" s="67" t="s">
        <v>23</v>
      </c>
      <c r="F90" s="67" t="s">
        <v>33</v>
      </c>
      <c r="G90" s="67" t="s">
        <v>34</v>
      </c>
      <c r="H90" s="68">
        <v>38122</v>
      </c>
      <c r="I90" s="68"/>
      <c r="J90" s="69">
        <v>1</v>
      </c>
      <c r="K90" s="70">
        <v>3.34</v>
      </c>
      <c r="L90" s="48">
        <v>8</v>
      </c>
      <c r="M90" s="48"/>
      <c r="N90" s="71">
        <f t="shared" si="2"/>
        <v>2.3952095808383236</v>
      </c>
      <c r="O90" s="48" t="s">
        <v>65</v>
      </c>
      <c r="P90" s="72"/>
      <c r="Q90" s="72"/>
      <c r="R90" s="72"/>
      <c r="S90" s="72"/>
      <c r="T90" s="72"/>
      <c r="U90" s="72"/>
      <c r="V90" s="72"/>
      <c r="W90" s="72"/>
      <c r="X90" s="72">
        <v>37</v>
      </c>
      <c r="Y90" s="72"/>
      <c r="Z90" s="72"/>
      <c r="AA90" s="72"/>
      <c r="AB90" s="72"/>
      <c r="AC90" s="72">
        <f>N90*AG90*X90*0.01</f>
        <v>2658.6826347305391</v>
      </c>
      <c r="AD90" s="72">
        <f>$AC90*0.4089</f>
        <v>1087.1353293413174</v>
      </c>
      <c r="AE90" s="72">
        <f>$AC90*0.0263</f>
        <v>69.923353293413186</v>
      </c>
      <c r="AF90" s="72"/>
      <c r="AG90" s="72">
        <v>3000</v>
      </c>
      <c r="AI90" s="72"/>
      <c r="AJ90" s="72"/>
      <c r="AK90" s="72"/>
      <c r="AL90" s="72"/>
    </row>
    <row r="91" spans="1:38">
      <c r="A91" s="65">
        <v>90</v>
      </c>
      <c r="B91" s="146">
        <v>2004</v>
      </c>
      <c r="C91" s="79" t="s">
        <v>136</v>
      </c>
      <c r="D91" s="67" t="s">
        <v>105</v>
      </c>
      <c r="E91" s="67" t="s">
        <v>15</v>
      </c>
      <c r="F91" s="67" t="s">
        <v>35</v>
      </c>
      <c r="G91" s="67" t="s">
        <v>46</v>
      </c>
      <c r="H91" s="68">
        <v>38125</v>
      </c>
      <c r="I91" s="68"/>
      <c r="K91" s="70">
        <v>3.34</v>
      </c>
      <c r="L91" s="48">
        <v>160</v>
      </c>
      <c r="M91" s="48"/>
      <c r="N91" s="71">
        <f t="shared" si="2"/>
        <v>47.904191616766468</v>
      </c>
      <c r="O91" s="48" t="s">
        <v>5</v>
      </c>
      <c r="P91" s="72">
        <v>53.075000000000003</v>
      </c>
      <c r="Q91" s="72">
        <v>23.815000000000001</v>
      </c>
      <c r="R91" s="76">
        <v>0.5</v>
      </c>
      <c r="S91" s="72">
        <v>442.38499999999999</v>
      </c>
      <c r="T91" s="73">
        <v>9.36</v>
      </c>
      <c r="U91" s="72">
        <f>N91*1000*X91/100</f>
        <v>1475.4491017964071</v>
      </c>
      <c r="V91" s="72">
        <f>S91*U91/1000</f>
        <v>652.71655089820354</v>
      </c>
      <c r="W91" s="72">
        <f>P91*U91/1000</f>
        <v>78.309461077844318</v>
      </c>
      <c r="X91" s="72">
        <v>3.08</v>
      </c>
      <c r="Y91" s="72">
        <v>33.532934131736532</v>
      </c>
      <c r="Z91" s="73">
        <v>28.742514970059883</v>
      </c>
      <c r="AA91" s="73">
        <v>124.55089820359282</v>
      </c>
      <c r="AB91" s="73">
        <v>4.7904191616766472</v>
      </c>
      <c r="AC91" s="72"/>
      <c r="AD91" s="72">
        <f>$N91*1000*$X91*0.01*$S91*0.001</f>
        <v>652.71655089820354</v>
      </c>
      <c r="AE91" s="72">
        <f>$N91*1000*$X91*0.01*$P91*0.001</f>
        <v>78.309461077844318</v>
      </c>
      <c r="AF91" s="72"/>
      <c r="AG91" s="72"/>
      <c r="AH91" s="74"/>
      <c r="AI91" s="72"/>
      <c r="AJ91" s="72"/>
      <c r="AK91" s="72"/>
      <c r="AL91" s="72"/>
    </row>
    <row r="92" spans="1:38">
      <c r="A92" s="65">
        <v>91</v>
      </c>
      <c r="B92" s="146">
        <v>2004</v>
      </c>
      <c r="C92" s="79" t="s">
        <v>136</v>
      </c>
      <c r="D92" s="67" t="s">
        <v>105</v>
      </c>
      <c r="E92" s="67" t="s">
        <v>23</v>
      </c>
      <c r="F92" s="67" t="s">
        <v>33</v>
      </c>
      <c r="G92" s="67" t="s">
        <v>34</v>
      </c>
      <c r="H92" s="68">
        <v>38167</v>
      </c>
      <c r="I92" s="68">
        <v>38168</v>
      </c>
      <c r="J92" s="69">
        <v>2</v>
      </c>
      <c r="K92" s="70">
        <v>3.34</v>
      </c>
      <c r="L92" s="48">
        <v>6.75</v>
      </c>
      <c r="M92" s="48"/>
      <c r="N92" s="71">
        <f t="shared" si="2"/>
        <v>2.0209580838323356</v>
      </c>
      <c r="O92" s="48" t="s">
        <v>65</v>
      </c>
      <c r="P92" s="72"/>
      <c r="Q92" s="72"/>
      <c r="R92" s="72"/>
      <c r="S92" s="72"/>
      <c r="T92" s="72"/>
      <c r="U92" s="72"/>
      <c r="V92" s="72"/>
      <c r="W92" s="72"/>
      <c r="X92" s="72">
        <v>37</v>
      </c>
      <c r="Y92" s="72"/>
      <c r="Z92" s="72"/>
      <c r="AA92" s="72"/>
      <c r="AB92" s="72"/>
      <c r="AC92" s="72">
        <f>N92*AG92*X92*0.01</f>
        <v>2243.2634730538925</v>
      </c>
      <c r="AD92" s="72">
        <f>$AC92*0.4089</f>
        <v>917.27043413173658</v>
      </c>
      <c r="AE92" s="72">
        <f>$AC92*0.0263</f>
        <v>58.997829341317377</v>
      </c>
      <c r="AF92" s="72"/>
      <c r="AG92" s="72">
        <v>3000</v>
      </c>
      <c r="AI92" s="72"/>
      <c r="AJ92" s="72"/>
      <c r="AK92" s="72"/>
      <c r="AL92" s="72"/>
    </row>
    <row r="93" spans="1:38">
      <c r="A93" s="65">
        <v>92</v>
      </c>
      <c r="B93" s="146">
        <v>2004</v>
      </c>
      <c r="C93" s="79" t="s">
        <v>136</v>
      </c>
      <c r="D93" s="67" t="s">
        <v>105</v>
      </c>
      <c r="E93" s="67" t="s">
        <v>15</v>
      </c>
      <c r="F93" s="67" t="s">
        <v>35</v>
      </c>
      <c r="G93" s="67" t="s">
        <v>46</v>
      </c>
      <c r="H93" s="68">
        <v>38174</v>
      </c>
      <c r="I93" s="68"/>
      <c r="K93" s="70">
        <v>3.34</v>
      </c>
      <c r="L93" s="48">
        <v>136</v>
      </c>
      <c r="M93" s="48"/>
      <c r="N93" s="71">
        <f t="shared" si="2"/>
        <v>40.718562874251496</v>
      </c>
      <c r="O93" s="48" t="s">
        <v>5</v>
      </c>
      <c r="P93" s="72">
        <v>53.075000000000003</v>
      </c>
      <c r="Q93" s="72">
        <v>23.815000000000001</v>
      </c>
      <c r="R93" s="76">
        <v>0.5</v>
      </c>
      <c r="S93" s="72">
        <v>442.38499999999999</v>
      </c>
      <c r="T93" s="73">
        <v>9.36</v>
      </c>
      <c r="U93" s="72">
        <f>N93*1000*X93/100</f>
        <v>1254.1317365269463</v>
      </c>
      <c r="V93" s="72">
        <f>S93*U93/1000</f>
        <v>554.80906826347314</v>
      </c>
      <c r="W93" s="72">
        <f>P93*U93/1000</f>
        <v>66.563041916167677</v>
      </c>
      <c r="X93" s="72">
        <v>3.08</v>
      </c>
      <c r="Y93" s="72">
        <v>28.502994011976046</v>
      </c>
      <c r="Z93" s="73">
        <v>24.431137724550897</v>
      </c>
      <c r="AA93" s="73">
        <v>105.8682634730539</v>
      </c>
      <c r="AB93" s="73">
        <v>4.0718562874251507</v>
      </c>
      <c r="AC93" s="72"/>
      <c r="AD93" s="72">
        <f>$N93*1000*$X93*0.01*$S93*0.001</f>
        <v>554.80906826347314</v>
      </c>
      <c r="AE93" s="72">
        <f>$N93*1000*$X93*0.01*$P93*0.001</f>
        <v>66.563041916167691</v>
      </c>
      <c r="AF93" s="72"/>
      <c r="AG93" s="72"/>
      <c r="AH93" s="74"/>
      <c r="AI93" s="72"/>
      <c r="AJ93" s="72"/>
      <c r="AK93" s="72"/>
      <c r="AL93" s="72"/>
    </row>
    <row r="94" spans="1:38">
      <c r="A94" s="65">
        <v>93</v>
      </c>
      <c r="B94" s="146">
        <v>2004</v>
      </c>
      <c r="C94" s="79" t="s">
        <v>136</v>
      </c>
      <c r="D94" s="67" t="s">
        <v>105</v>
      </c>
      <c r="E94" s="67" t="s">
        <v>23</v>
      </c>
      <c r="F94" s="67" t="s">
        <v>33</v>
      </c>
      <c r="G94" s="67" t="s">
        <v>34</v>
      </c>
      <c r="H94" s="68">
        <v>38196</v>
      </c>
      <c r="I94" s="68"/>
      <c r="J94" s="69">
        <v>3</v>
      </c>
      <c r="K94" s="70">
        <v>3.34</v>
      </c>
      <c r="L94" s="48">
        <v>3</v>
      </c>
      <c r="M94" s="48"/>
      <c r="N94" s="71">
        <f t="shared" si="2"/>
        <v>0.89820359281437134</v>
      </c>
      <c r="O94" s="48" t="s">
        <v>65</v>
      </c>
      <c r="P94" s="72"/>
      <c r="Q94" s="72"/>
      <c r="R94" s="72"/>
      <c r="S94" s="72"/>
      <c r="T94" s="72"/>
      <c r="U94" s="72"/>
      <c r="V94" s="72"/>
      <c r="W94" s="72"/>
      <c r="X94" s="72">
        <v>37</v>
      </c>
      <c r="Y94" s="72"/>
      <c r="Z94" s="72"/>
      <c r="AA94" s="72"/>
      <c r="AB94" s="72"/>
      <c r="AC94" s="72">
        <f>N94*AG94*X94*0.01</f>
        <v>997.00598802395223</v>
      </c>
      <c r="AD94" s="72">
        <f>$AC94*0.4089</f>
        <v>407.67574850299405</v>
      </c>
      <c r="AE94" s="72">
        <f>$AC94*0.0263</f>
        <v>26.221257485029945</v>
      </c>
      <c r="AF94" s="72"/>
      <c r="AG94" s="72">
        <v>3000</v>
      </c>
      <c r="AI94" s="72"/>
      <c r="AJ94" s="72"/>
      <c r="AK94" s="72"/>
      <c r="AL94" s="72"/>
    </row>
    <row r="95" spans="1:38">
      <c r="A95" s="65">
        <v>94</v>
      </c>
      <c r="B95" s="146">
        <v>2004</v>
      </c>
      <c r="C95" s="79" t="s">
        <v>136</v>
      </c>
      <c r="D95" s="67" t="s">
        <v>105</v>
      </c>
      <c r="E95" s="67" t="s">
        <v>15</v>
      </c>
      <c r="F95" s="67" t="s">
        <v>35</v>
      </c>
      <c r="G95" s="67" t="s">
        <v>46</v>
      </c>
      <c r="H95" s="68">
        <v>38203</v>
      </c>
      <c r="I95" s="68"/>
      <c r="K95" s="70">
        <v>3.34</v>
      </c>
      <c r="L95" s="48">
        <v>143</v>
      </c>
      <c r="M95" s="48"/>
      <c r="N95" s="71">
        <f t="shared" si="2"/>
        <v>42.814371257485028</v>
      </c>
      <c r="O95" s="48" t="s">
        <v>5</v>
      </c>
      <c r="P95" s="72">
        <v>53.075000000000003</v>
      </c>
      <c r="Q95" s="72">
        <v>23.815000000000001</v>
      </c>
      <c r="R95" s="76">
        <v>0.5</v>
      </c>
      <c r="S95" s="72">
        <v>442.38499999999999</v>
      </c>
      <c r="T95" s="73">
        <v>9.36</v>
      </c>
      <c r="U95" s="72">
        <f>N95*1000*X95/100</f>
        <v>1318.6826347305389</v>
      </c>
      <c r="V95" s="72">
        <f>S95*U95/1000</f>
        <v>583.36541736526942</v>
      </c>
      <c r="W95" s="72">
        <f>P95*U95/1000</f>
        <v>69.989080838323346</v>
      </c>
      <c r="X95" s="72">
        <v>3.08</v>
      </c>
      <c r="Y95" s="72">
        <v>29.970059880239521</v>
      </c>
      <c r="Z95" s="73">
        <v>25.688622754491018</v>
      </c>
      <c r="AA95" s="73">
        <v>111.31736526946109</v>
      </c>
      <c r="AB95" s="73">
        <v>4.2814371257485035</v>
      </c>
      <c r="AC95" s="72"/>
      <c r="AD95" s="72">
        <f>$N95*1000*$X95*0.01*$S95*0.001</f>
        <v>583.36541736526954</v>
      </c>
      <c r="AE95" s="72">
        <f>$N95*1000*$X95*0.01*$P95*0.001</f>
        <v>69.989080838323375</v>
      </c>
      <c r="AF95" s="72"/>
      <c r="AG95" s="72"/>
      <c r="AH95" s="74"/>
      <c r="AI95" s="72"/>
      <c r="AJ95" s="72"/>
      <c r="AK95" s="72"/>
      <c r="AL95" s="72"/>
    </row>
    <row r="96" spans="1:38">
      <c r="A96" s="65">
        <v>95</v>
      </c>
      <c r="B96" s="146">
        <v>2004</v>
      </c>
      <c r="C96" s="79" t="s">
        <v>136</v>
      </c>
      <c r="D96" s="67" t="s">
        <v>105</v>
      </c>
      <c r="E96" s="67" t="s">
        <v>23</v>
      </c>
      <c r="F96" s="67" t="s">
        <v>33</v>
      </c>
      <c r="G96" s="67" t="s">
        <v>34</v>
      </c>
      <c r="H96" s="68">
        <v>38232</v>
      </c>
      <c r="I96" s="68"/>
      <c r="J96" s="69">
        <v>4</v>
      </c>
      <c r="K96" s="70">
        <v>3.34</v>
      </c>
      <c r="L96" s="48">
        <v>4</v>
      </c>
      <c r="M96" s="48"/>
      <c r="N96" s="71">
        <f t="shared" si="2"/>
        <v>1.1976047904191618</v>
      </c>
      <c r="O96" s="48" t="s">
        <v>65</v>
      </c>
      <c r="P96" s="72"/>
      <c r="Q96" s="72"/>
      <c r="R96" s="72"/>
      <c r="S96" s="72"/>
      <c r="T96" s="72"/>
      <c r="U96" s="72"/>
      <c r="V96" s="72"/>
      <c r="W96" s="72"/>
      <c r="X96" s="72">
        <v>37</v>
      </c>
      <c r="Y96" s="72"/>
      <c r="Z96" s="72"/>
      <c r="AA96" s="72"/>
      <c r="AB96" s="72"/>
      <c r="AC96" s="72">
        <f>N96*AG96*X96*0.01</f>
        <v>1329.3413173652696</v>
      </c>
      <c r="AD96" s="72">
        <f>$AC96*0.4089</f>
        <v>543.5676646706587</v>
      </c>
      <c r="AE96" s="72">
        <f>$AC96*0.0263</f>
        <v>34.961676646706593</v>
      </c>
      <c r="AF96" s="72"/>
      <c r="AG96" s="72">
        <v>3000</v>
      </c>
      <c r="AI96" s="72"/>
      <c r="AJ96" s="72"/>
      <c r="AK96" s="72"/>
      <c r="AL96" s="72"/>
    </row>
    <row r="97" spans="1:38">
      <c r="A97" s="65">
        <v>96</v>
      </c>
      <c r="B97" s="146">
        <v>2004</v>
      </c>
      <c r="C97" s="79" t="s">
        <v>136</v>
      </c>
      <c r="D97" s="67" t="s">
        <v>105</v>
      </c>
      <c r="E97" s="67" t="s">
        <v>23</v>
      </c>
      <c r="F97" s="67" t="s">
        <v>33</v>
      </c>
      <c r="G97" s="67" t="s">
        <v>34</v>
      </c>
      <c r="H97" s="68">
        <v>38264</v>
      </c>
      <c r="I97" s="68">
        <v>38265</v>
      </c>
      <c r="J97" s="69">
        <v>5</v>
      </c>
      <c r="K97" s="70">
        <v>3.34</v>
      </c>
      <c r="L97" s="48">
        <v>6.68</v>
      </c>
      <c r="M97" s="48"/>
      <c r="N97" s="71">
        <f t="shared" si="2"/>
        <v>2</v>
      </c>
      <c r="O97" s="83" t="s">
        <v>68</v>
      </c>
      <c r="P97" s="72"/>
      <c r="Q97" s="72"/>
      <c r="R97" s="72"/>
      <c r="S97" s="72"/>
      <c r="T97" s="72"/>
      <c r="U97" s="72"/>
      <c r="V97" s="72"/>
      <c r="W97" s="72"/>
      <c r="X97" s="72">
        <v>37</v>
      </c>
      <c r="Y97" s="72"/>
      <c r="Z97" s="72"/>
      <c r="AA97" s="72"/>
      <c r="AB97" s="72"/>
      <c r="AC97" s="72">
        <f>N97*AG97*X97*0.01</f>
        <v>455.1</v>
      </c>
      <c r="AD97" s="72">
        <f>$AC97*0.4089</f>
        <v>186.09039000000001</v>
      </c>
      <c r="AE97" s="72">
        <f>$AC97*0.0263</f>
        <v>11.969130000000002</v>
      </c>
      <c r="AF97" s="72"/>
      <c r="AG97" s="72">
        <v>615</v>
      </c>
      <c r="AI97" s="72"/>
      <c r="AJ97" s="72"/>
      <c r="AK97" s="72"/>
      <c r="AL97" s="72"/>
    </row>
    <row r="98" spans="1:38">
      <c r="A98" s="65">
        <v>97</v>
      </c>
      <c r="B98" s="146">
        <v>2004</v>
      </c>
      <c r="C98" s="79" t="s">
        <v>136</v>
      </c>
      <c r="D98" s="67" t="s">
        <v>105</v>
      </c>
      <c r="E98" s="67" t="s">
        <v>15</v>
      </c>
      <c r="F98" s="67" t="s">
        <v>35</v>
      </c>
      <c r="G98" s="67" t="s">
        <v>46</v>
      </c>
      <c r="H98" s="68">
        <v>38273</v>
      </c>
      <c r="I98" s="68"/>
      <c r="K98" s="70">
        <v>3.34</v>
      </c>
      <c r="L98" s="48">
        <v>143</v>
      </c>
      <c r="M98" s="48"/>
      <c r="N98" s="71">
        <f t="shared" si="2"/>
        <v>42.814371257485028</v>
      </c>
      <c r="O98" s="48" t="s">
        <v>5</v>
      </c>
      <c r="P98" s="72">
        <v>53.075000000000003</v>
      </c>
      <c r="Q98" s="72">
        <v>23.815000000000001</v>
      </c>
      <c r="R98" s="76">
        <v>0.5</v>
      </c>
      <c r="S98" s="72">
        <v>442.38499999999999</v>
      </c>
      <c r="T98" s="73">
        <v>9.36</v>
      </c>
      <c r="U98" s="72">
        <f>N98*1000*X98/100</f>
        <v>1318.6826347305389</v>
      </c>
      <c r="V98" s="72">
        <f>S98*U98/1000</f>
        <v>583.36541736526942</v>
      </c>
      <c r="W98" s="72">
        <f>P98*U98/1000</f>
        <v>69.989080838323346</v>
      </c>
      <c r="X98" s="72">
        <v>3.08</v>
      </c>
      <c r="Y98" s="72">
        <v>29.970059880239521</v>
      </c>
      <c r="Z98" s="73">
        <v>25.688622754491018</v>
      </c>
      <c r="AA98" s="73">
        <v>111.31736526946109</v>
      </c>
      <c r="AB98" s="73">
        <v>4.2814371257485035</v>
      </c>
      <c r="AC98" s="72"/>
      <c r="AD98" s="72">
        <f>$N98*1000*$X98*0.01*$S98*0.001</f>
        <v>583.36541736526954</v>
      </c>
      <c r="AE98" s="72">
        <f>$N98*1000*$X98*0.01*$P98*0.001</f>
        <v>69.989080838323375</v>
      </c>
      <c r="AF98" s="72"/>
      <c r="AG98" s="72"/>
      <c r="AH98" s="74"/>
      <c r="AI98" s="72"/>
      <c r="AJ98" s="72"/>
      <c r="AK98" s="72"/>
      <c r="AL98" s="72"/>
    </row>
    <row r="99" spans="1:38">
      <c r="A99" s="65">
        <v>98</v>
      </c>
      <c r="B99" s="146">
        <v>2004</v>
      </c>
      <c r="C99" s="79" t="s">
        <v>136</v>
      </c>
      <c r="D99" s="67" t="s">
        <v>105</v>
      </c>
      <c r="E99" s="67" t="s">
        <v>15</v>
      </c>
      <c r="F99" s="67" t="s">
        <v>35</v>
      </c>
      <c r="G99" s="67" t="s">
        <v>46</v>
      </c>
      <c r="H99" s="68">
        <v>38299</v>
      </c>
      <c r="I99" s="68"/>
      <c r="K99" s="70">
        <v>3.34</v>
      </c>
      <c r="L99" s="48">
        <v>112</v>
      </c>
      <c r="M99" s="48"/>
      <c r="N99" s="71">
        <f t="shared" si="2"/>
        <v>33.532934131736525</v>
      </c>
      <c r="O99" s="48" t="s">
        <v>5</v>
      </c>
      <c r="P99" s="72">
        <v>53.075000000000003</v>
      </c>
      <c r="Q99" s="72">
        <v>23.815000000000001</v>
      </c>
      <c r="R99" s="76">
        <v>0.5</v>
      </c>
      <c r="S99" s="72">
        <v>442.38499999999999</v>
      </c>
      <c r="T99" s="73">
        <v>9.36</v>
      </c>
      <c r="U99" s="72">
        <f>N99*1000*X99/100</f>
        <v>1032.8143712574849</v>
      </c>
      <c r="V99" s="72">
        <f>S99*U99/1000</f>
        <v>456.90158562874245</v>
      </c>
      <c r="W99" s="72">
        <f>P99*U99/1000</f>
        <v>54.816622754491014</v>
      </c>
      <c r="X99" s="72">
        <v>3.08</v>
      </c>
      <c r="Y99" s="72">
        <v>23.452095808383234</v>
      </c>
      <c r="Z99" s="73">
        <v>20.101796407185631</v>
      </c>
      <c r="AA99" s="73">
        <v>87.107784431137731</v>
      </c>
      <c r="AB99" s="73">
        <v>3.3502994011976055</v>
      </c>
      <c r="AC99" s="72"/>
      <c r="AD99" s="72">
        <f>$N99*1000*$X99*0.01*$S99*0.001</f>
        <v>456.90158562874257</v>
      </c>
      <c r="AE99" s="72">
        <f>$N99*1000*$X99*0.01*$P99*0.001</f>
        <v>54.816622754491029</v>
      </c>
      <c r="AF99" s="72"/>
      <c r="AG99" s="72"/>
      <c r="AH99" s="74"/>
      <c r="AI99" s="72"/>
      <c r="AJ99" s="72"/>
      <c r="AK99" s="72"/>
      <c r="AL99" s="72"/>
    </row>
    <row r="100" spans="1:38">
      <c r="A100" s="65">
        <v>99</v>
      </c>
      <c r="B100" s="146">
        <v>2004</v>
      </c>
      <c r="C100" s="79" t="s">
        <v>136</v>
      </c>
      <c r="D100" s="67" t="s">
        <v>105</v>
      </c>
      <c r="E100" s="67" t="s">
        <v>23</v>
      </c>
      <c r="F100" s="67" t="s">
        <v>27</v>
      </c>
      <c r="G100" s="67" t="s">
        <v>45</v>
      </c>
      <c r="H100" s="84">
        <v>38306</v>
      </c>
      <c r="I100" s="68">
        <v>38336</v>
      </c>
      <c r="J100" s="69">
        <v>6</v>
      </c>
      <c r="K100" s="70">
        <v>3.34</v>
      </c>
      <c r="L100" s="71">
        <v>80</v>
      </c>
      <c r="M100" s="71"/>
      <c r="N100" s="71">
        <f>L100/K100</f>
        <v>23.952095808383234</v>
      </c>
      <c r="O100" s="48" t="s">
        <v>64</v>
      </c>
      <c r="P100" s="72"/>
      <c r="Q100" s="72"/>
      <c r="R100" s="72"/>
      <c r="S100" s="72"/>
      <c r="T100" s="72"/>
      <c r="U100" s="72"/>
      <c r="V100" s="72"/>
      <c r="W100" s="72"/>
      <c r="X100" s="72"/>
      <c r="Y100" s="72"/>
      <c r="Z100" s="72"/>
      <c r="AA100" s="72"/>
      <c r="AB100" s="72"/>
      <c r="AC100" s="72">
        <f>N100*AG100*AF100</f>
        <v>1077.8443113772455</v>
      </c>
      <c r="AD100" s="72">
        <f>$AC100*0.4089</f>
        <v>440.73053892215569</v>
      </c>
      <c r="AE100" s="72">
        <f>$AC100*0.0263</f>
        <v>28.347305389221557</v>
      </c>
      <c r="AF100" s="72">
        <v>30</v>
      </c>
      <c r="AG100" s="72">
        <v>1.5</v>
      </c>
      <c r="AI100" s="72"/>
      <c r="AJ100" s="72"/>
      <c r="AK100" s="72"/>
      <c r="AL100" s="72"/>
    </row>
    <row r="101" spans="1:38">
      <c r="A101" s="65">
        <v>100</v>
      </c>
      <c r="B101" s="147">
        <v>2005</v>
      </c>
      <c r="C101" s="66" t="s">
        <v>135</v>
      </c>
      <c r="D101" s="67" t="s">
        <v>105</v>
      </c>
      <c r="E101" s="67" t="s">
        <v>23</v>
      </c>
      <c r="F101" s="67" t="s">
        <v>33</v>
      </c>
      <c r="G101" s="67" t="s">
        <v>34</v>
      </c>
      <c r="H101" s="68">
        <v>38473</v>
      </c>
      <c r="I101" s="68"/>
      <c r="J101" s="69">
        <v>1</v>
      </c>
      <c r="K101" s="70">
        <v>1.32</v>
      </c>
      <c r="L101" s="48">
        <v>2</v>
      </c>
      <c r="M101" s="48"/>
      <c r="N101" s="71">
        <f t="shared" ref="N101:N108" si="3">IF(L101/K101&gt;0, L101/K101,"")</f>
        <v>1.5151515151515151</v>
      </c>
      <c r="O101" s="48" t="s">
        <v>65</v>
      </c>
      <c r="P101" s="72"/>
      <c r="Q101" s="72"/>
      <c r="R101" s="72"/>
      <c r="S101" s="72"/>
      <c r="T101" s="72"/>
      <c r="U101" s="72"/>
      <c r="V101" s="72"/>
      <c r="W101" s="72"/>
      <c r="X101" s="72">
        <v>37</v>
      </c>
      <c r="Y101" s="72"/>
      <c r="Z101" s="72"/>
      <c r="AA101" s="72"/>
      <c r="AB101" s="72"/>
      <c r="AC101" s="72">
        <f>N101*AG101*X101*0.01</f>
        <v>1681.8181818181818</v>
      </c>
      <c r="AD101" s="72">
        <f>AC101*0.4089</f>
        <v>687.69545454545448</v>
      </c>
      <c r="AE101" s="72">
        <f>AC101*0.0263</f>
        <v>44.231818181818184</v>
      </c>
      <c r="AF101" s="72"/>
      <c r="AG101" s="72">
        <v>3000</v>
      </c>
      <c r="AI101" s="72"/>
      <c r="AJ101" s="72"/>
      <c r="AK101" s="72"/>
      <c r="AL101" s="72"/>
    </row>
    <row r="102" spans="1:38">
      <c r="A102" s="65">
        <v>101</v>
      </c>
      <c r="B102" s="147">
        <v>2005</v>
      </c>
      <c r="C102" s="66" t="s">
        <v>135</v>
      </c>
      <c r="D102" s="67" t="s">
        <v>105</v>
      </c>
      <c r="E102" s="67" t="s">
        <v>15</v>
      </c>
      <c r="F102" s="67" t="s">
        <v>35</v>
      </c>
      <c r="G102" s="67" t="s">
        <v>46</v>
      </c>
      <c r="H102" s="68">
        <v>38482</v>
      </c>
      <c r="I102" s="68"/>
      <c r="K102" s="70">
        <v>1.32</v>
      </c>
      <c r="L102" s="48">
        <v>40</v>
      </c>
      <c r="M102" s="48"/>
      <c r="N102" s="71">
        <f t="shared" si="3"/>
        <v>30.303030303030301</v>
      </c>
      <c r="O102" s="48" t="s">
        <v>5</v>
      </c>
      <c r="P102" s="72">
        <v>53.075000000000003</v>
      </c>
      <c r="Q102" s="72">
        <v>23.815000000000001</v>
      </c>
      <c r="R102" s="76">
        <v>0.5</v>
      </c>
      <c r="S102" s="72">
        <v>442.38499999999999</v>
      </c>
      <c r="T102" s="73">
        <v>9.36</v>
      </c>
      <c r="U102" s="72">
        <f>N102*1000*X102/100</f>
        <v>933.33333333333326</v>
      </c>
      <c r="V102" s="72">
        <f>S102*U102/1000</f>
        <v>412.89266666666663</v>
      </c>
      <c r="W102" s="72">
        <f>P102*U102/1000</f>
        <v>49.536666666666662</v>
      </c>
      <c r="X102" s="72">
        <v>3.08</v>
      </c>
      <c r="Y102" s="72">
        <v>21.212121212121215</v>
      </c>
      <c r="Z102" s="73">
        <v>18.181818181818183</v>
      </c>
      <c r="AA102" s="73">
        <v>78.787878787878796</v>
      </c>
      <c r="AB102" s="73">
        <v>3.0303030303030307</v>
      </c>
      <c r="AC102" s="72"/>
      <c r="AD102" s="72">
        <f>$N102*1000*$X102*0.01*$S102*0.001</f>
        <v>412.89266666666663</v>
      </c>
      <c r="AE102" s="72">
        <f>$N102*1000*$X102*0.01*$P102*0.001</f>
        <v>49.536666666666662</v>
      </c>
      <c r="AF102" s="72"/>
      <c r="AG102" s="72"/>
      <c r="AH102" s="74"/>
      <c r="AI102" s="72"/>
      <c r="AJ102" s="72"/>
      <c r="AK102" s="72"/>
      <c r="AL102" s="72"/>
    </row>
    <row r="103" spans="1:38">
      <c r="A103" s="65">
        <v>102</v>
      </c>
      <c r="B103" s="147">
        <v>2005</v>
      </c>
      <c r="C103" s="66" t="s">
        <v>135</v>
      </c>
      <c r="D103" s="67" t="s">
        <v>105</v>
      </c>
      <c r="E103" s="67" t="s">
        <v>15</v>
      </c>
      <c r="F103" s="67" t="s">
        <v>35</v>
      </c>
      <c r="G103" s="67" t="s">
        <v>46</v>
      </c>
      <c r="H103" s="68">
        <v>38505</v>
      </c>
      <c r="I103" s="68"/>
      <c r="K103" s="70">
        <v>1.32</v>
      </c>
      <c r="L103" s="48">
        <v>50.8</v>
      </c>
      <c r="M103" s="48"/>
      <c r="N103" s="71">
        <f t="shared" si="3"/>
        <v>38.484848484848484</v>
      </c>
      <c r="O103" s="48" t="s">
        <v>5</v>
      </c>
      <c r="P103" s="72">
        <v>53.075000000000003</v>
      </c>
      <c r="Q103" s="72">
        <v>23.815000000000001</v>
      </c>
      <c r="R103" s="76">
        <v>0.5</v>
      </c>
      <c r="S103" s="72">
        <v>442.38499999999999</v>
      </c>
      <c r="T103" s="73">
        <v>9.36</v>
      </c>
      <c r="U103" s="72">
        <f>N103*1000*X103/100</f>
        <v>1185.3333333333335</v>
      </c>
      <c r="V103" s="72">
        <f>S103*U103/1000</f>
        <v>524.3736866666668</v>
      </c>
      <c r="W103" s="72">
        <f>P103*U103/1000</f>
        <v>62.91156666666668</v>
      </c>
      <c r="X103" s="72">
        <v>3.08</v>
      </c>
      <c r="Y103" s="72">
        <v>26.950000000000003</v>
      </c>
      <c r="Z103" s="73">
        <v>23.1</v>
      </c>
      <c r="AA103" s="73">
        <v>100.10000000000002</v>
      </c>
      <c r="AB103" s="73">
        <v>3.850000000000001</v>
      </c>
      <c r="AC103" s="72"/>
      <c r="AD103" s="72">
        <f>$N103*1000*$X103*0.01*$S103*0.001</f>
        <v>524.3736866666668</v>
      </c>
      <c r="AE103" s="72">
        <f>$N103*1000*$X103*0.01*$P103*0.001</f>
        <v>62.91156666666668</v>
      </c>
      <c r="AF103" s="72"/>
      <c r="AG103" s="72"/>
      <c r="AH103" s="74"/>
      <c r="AI103" s="72"/>
      <c r="AJ103" s="72"/>
      <c r="AK103" s="72"/>
      <c r="AL103" s="72"/>
    </row>
    <row r="104" spans="1:38">
      <c r="A104" s="65">
        <v>103</v>
      </c>
      <c r="B104" s="147">
        <v>2005</v>
      </c>
      <c r="C104" s="66" t="s">
        <v>135</v>
      </c>
      <c r="D104" s="67" t="s">
        <v>105</v>
      </c>
      <c r="E104" s="67" t="s">
        <v>23</v>
      </c>
      <c r="F104" s="67" t="s">
        <v>33</v>
      </c>
      <c r="G104" s="78" t="s">
        <v>41</v>
      </c>
      <c r="H104" s="68">
        <v>38531</v>
      </c>
      <c r="I104" s="68"/>
      <c r="J104" s="69">
        <v>2</v>
      </c>
      <c r="K104" s="70">
        <v>1.32</v>
      </c>
      <c r="L104" s="48">
        <v>1</v>
      </c>
      <c r="M104" s="48"/>
      <c r="N104" s="71">
        <f t="shared" si="3"/>
        <v>0.75757575757575757</v>
      </c>
      <c r="O104" s="48" t="s">
        <v>65</v>
      </c>
      <c r="P104" s="72"/>
      <c r="Q104" s="72"/>
      <c r="R104" s="72"/>
      <c r="S104" s="72"/>
      <c r="T104" s="72"/>
      <c r="U104" s="72"/>
      <c r="V104" s="72"/>
      <c r="W104" s="72"/>
      <c r="X104" s="72">
        <v>70</v>
      </c>
      <c r="Y104" s="72"/>
      <c r="Z104" s="72"/>
      <c r="AA104" s="72"/>
      <c r="AB104" s="72"/>
      <c r="AC104" s="72">
        <f>N104*AG104*X104*0.01</f>
        <v>795.4545454545455</v>
      </c>
      <c r="AD104" s="72">
        <f>AC104*0.4089</f>
        <v>325.26136363636363</v>
      </c>
      <c r="AE104" s="72">
        <f>AC104*0.0263</f>
        <v>20.920454545454547</v>
      </c>
      <c r="AF104" s="72"/>
      <c r="AG104" s="72">
        <v>1500</v>
      </c>
      <c r="AI104" s="72"/>
      <c r="AJ104" s="72"/>
      <c r="AK104" s="72"/>
      <c r="AL104" s="72"/>
    </row>
    <row r="105" spans="1:38">
      <c r="A105" s="65">
        <v>104</v>
      </c>
      <c r="B105" s="147">
        <v>2005</v>
      </c>
      <c r="C105" s="66" t="s">
        <v>135</v>
      </c>
      <c r="D105" s="67" t="s">
        <v>105</v>
      </c>
      <c r="E105" s="67" t="s">
        <v>23</v>
      </c>
      <c r="F105" s="67" t="s">
        <v>33</v>
      </c>
      <c r="G105" s="67" t="s">
        <v>34</v>
      </c>
      <c r="H105" s="68">
        <v>38560</v>
      </c>
      <c r="I105" s="68"/>
      <c r="J105" s="69">
        <v>3</v>
      </c>
      <c r="K105" s="70">
        <v>1.32</v>
      </c>
      <c r="L105" s="48">
        <v>3</v>
      </c>
      <c r="M105" s="48"/>
      <c r="N105" s="71">
        <f t="shared" si="3"/>
        <v>2.2727272727272725</v>
      </c>
      <c r="O105" s="48" t="s">
        <v>65</v>
      </c>
      <c r="P105" s="72"/>
      <c r="Q105" s="72"/>
      <c r="R105" s="72"/>
      <c r="S105" s="72"/>
      <c r="T105" s="72"/>
      <c r="U105" s="72"/>
      <c r="V105" s="72"/>
      <c r="W105" s="72"/>
      <c r="X105" s="72">
        <v>37</v>
      </c>
      <c r="Y105" s="72"/>
      <c r="Z105" s="72"/>
      <c r="AA105" s="72"/>
      <c r="AB105" s="72"/>
      <c r="AC105" s="72">
        <f>N105*AG105*X105*0.01</f>
        <v>2522.7272727272725</v>
      </c>
      <c r="AD105" s="72">
        <f>AC105*0.4089</f>
        <v>1031.5431818181817</v>
      </c>
      <c r="AE105" s="72">
        <f>AC105*0.0263</f>
        <v>66.347727272727269</v>
      </c>
      <c r="AF105" s="72"/>
      <c r="AG105" s="72">
        <v>3000</v>
      </c>
      <c r="AI105" s="72"/>
      <c r="AJ105" s="72"/>
      <c r="AK105" s="72"/>
      <c r="AL105" s="72"/>
    </row>
    <row r="106" spans="1:38">
      <c r="A106" s="65">
        <v>105</v>
      </c>
      <c r="B106" s="147">
        <v>2005</v>
      </c>
      <c r="C106" s="66" t="s">
        <v>135</v>
      </c>
      <c r="D106" s="67" t="s">
        <v>105</v>
      </c>
      <c r="E106" s="67" t="s">
        <v>15</v>
      </c>
      <c r="F106" s="67" t="s">
        <v>35</v>
      </c>
      <c r="G106" s="67" t="s">
        <v>46</v>
      </c>
      <c r="H106" s="68">
        <v>38567</v>
      </c>
      <c r="I106" s="68"/>
      <c r="K106" s="70">
        <v>1.32</v>
      </c>
      <c r="L106" s="48">
        <v>16.899999999999999</v>
      </c>
      <c r="M106" s="48"/>
      <c r="N106" s="71">
        <f t="shared" si="3"/>
        <v>12.803030303030301</v>
      </c>
      <c r="O106" s="48" t="s">
        <v>5</v>
      </c>
      <c r="P106" s="72">
        <v>53.075000000000003</v>
      </c>
      <c r="Q106" s="72">
        <v>23.815000000000001</v>
      </c>
      <c r="R106" s="76">
        <v>0.5</v>
      </c>
      <c r="S106" s="72">
        <v>442.38499999999999</v>
      </c>
      <c r="T106" s="73">
        <v>9.36</v>
      </c>
      <c r="U106" s="72">
        <f>N106*1000*X106/100</f>
        <v>394.33333333333326</v>
      </c>
      <c r="V106" s="72">
        <f>S106*U106/1000</f>
        <v>174.44715166666666</v>
      </c>
      <c r="W106" s="72">
        <f>P106*U106/1000</f>
        <v>20.929241666666666</v>
      </c>
      <c r="X106" s="72">
        <v>3.08</v>
      </c>
      <c r="Y106" s="72">
        <v>9.0090000000000003</v>
      </c>
      <c r="Z106" s="73">
        <v>7.7219999999999995</v>
      </c>
      <c r="AA106" s="73">
        <v>33.462000000000003</v>
      </c>
      <c r="AB106" s="73">
        <v>1.2870000000000001</v>
      </c>
      <c r="AC106" s="72"/>
      <c r="AD106" s="72">
        <f>$N106*1000*$X106*0.01*$S106*0.001</f>
        <v>174.44715166666666</v>
      </c>
      <c r="AE106" s="72">
        <f>$N106*1000*$X106*0.01*$P106*0.001</f>
        <v>20.929241666666666</v>
      </c>
      <c r="AF106" s="72"/>
      <c r="AG106" s="72"/>
      <c r="AH106" s="74"/>
      <c r="AI106" s="72"/>
      <c r="AJ106" s="72"/>
      <c r="AK106" s="72"/>
      <c r="AL106" s="72"/>
    </row>
    <row r="107" spans="1:38">
      <c r="A107" s="65">
        <v>106</v>
      </c>
      <c r="B107" s="147">
        <v>2005</v>
      </c>
      <c r="C107" s="66" t="s">
        <v>135</v>
      </c>
      <c r="D107" s="67" t="s">
        <v>105</v>
      </c>
      <c r="E107" s="67" t="s">
        <v>23</v>
      </c>
      <c r="F107" s="67" t="s">
        <v>33</v>
      </c>
      <c r="G107" s="75" t="s">
        <v>34</v>
      </c>
      <c r="H107" s="68">
        <v>38595</v>
      </c>
      <c r="I107" s="68"/>
      <c r="J107" s="69">
        <v>4</v>
      </c>
      <c r="K107" s="70">
        <v>1.32</v>
      </c>
      <c r="L107" s="48">
        <v>2</v>
      </c>
      <c r="M107" s="48"/>
      <c r="N107" s="71">
        <f t="shared" si="3"/>
        <v>1.5151515151515151</v>
      </c>
      <c r="O107" s="48" t="s">
        <v>65</v>
      </c>
      <c r="P107" s="72"/>
      <c r="Q107" s="72"/>
      <c r="R107" s="72"/>
      <c r="S107" s="72"/>
      <c r="T107" s="72"/>
      <c r="U107" s="72"/>
      <c r="V107" s="72"/>
      <c r="W107" s="72"/>
      <c r="X107" s="72">
        <v>37</v>
      </c>
      <c r="Y107" s="72"/>
      <c r="Z107" s="72"/>
      <c r="AA107" s="72"/>
      <c r="AB107" s="72"/>
      <c r="AC107" s="72">
        <f>N107*AG107*X107*0.01</f>
        <v>1681.8181818181818</v>
      </c>
      <c r="AD107" s="72">
        <f>AC107*0.4089</f>
        <v>687.69545454545448</v>
      </c>
      <c r="AE107" s="72">
        <f>AC107*0.0263</f>
        <v>44.231818181818184</v>
      </c>
      <c r="AF107" s="72"/>
      <c r="AG107" s="72">
        <v>3000</v>
      </c>
      <c r="AI107" s="72"/>
      <c r="AJ107" s="72"/>
      <c r="AK107" s="72"/>
      <c r="AL107" s="72"/>
    </row>
    <row r="108" spans="1:38">
      <c r="A108" s="65">
        <v>107</v>
      </c>
      <c r="B108" s="147">
        <v>2005</v>
      </c>
      <c r="C108" s="66" t="s">
        <v>135</v>
      </c>
      <c r="D108" s="67" t="s">
        <v>105</v>
      </c>
      <c r="E108" s="67" t="s">
        <v>23</v>
      </c>
      <c r="F108" s="67" t="s">
        <v>33</v>
      </c>
      <c r="G108" s="78" t="s">
        <v>41</v>
      </c>
      <c r="H108" s="68">
        <v>38616</v>
      </c>
      <c r="I108" s="68"/>
      <c r="J108" s="69">
        <v>5</v>
      </c>
      <c r="K108" s="70">
        <v>1.32</v>
      </c>
      <c r="L108" s="48">
        <v>0.5</v>
      </c>
      <c r="M108" s="48"/>
      <c r="N108" s="71">
        <f t="shared" si="3"/>
        <v>0.37878787878787878</v>
      </c>
      <c r="O108" s="48" t="s">
        <v>65</v>
      </c>
      <c r="P108" s="72"/>
      <c r="Q108" s="72"/>
      <c r="R108" s="72"/>
      <c r="S108" s="72"/>
      <c r="T108" s="72"/>
      <c r="U108" s="72"/>
      <c r="V108" s="72"/>
      <c r="W108" s="72"/>
      <c r="X108" s="72">
        <v>70</v>
      </c>
      <c r="Y108" s="72"/>
      <c r="Z108" s="72"/>
      <c r="AA108" s="72"/>
      <c r="AB108" s="72"/>
      <c r="AC108" s="72">
        <f>N108*AG108*X108*0.01</f>
        <v>397.72727272727275</v>
      </c>
      <c r="AD108" s="72">
        <f>AC108*0.4089</f>
        <v>162.63068181818181</v>
      </c>
      <c r="AE108" s="72">
        <f>AC108*0.0263</f>
        <v>10.460227272727273</v>
      </c>
      <c r="AF108" s="72"/>
      <c r="AG108" s="72">
        <v>1500</v>
      </c>
      <c r="AI108" s="72"/>
      <c r="AJ108" s="72"/>
      <c r="AK108" s="72"/>
      <c r="AL108" s="72"/>
    </row>
    <row r="109" spans="1:38">
      <c r="A109" s="65">
        <v>108</v>
      </c>
      <c r="B109" s="147">
        <v>2005</v>
      </c>
      <c r="C109" s="66" t="s">
        <v>135</v>
      </c>
      <c r="D109" s="67" t="s">
        <v>105</v>
      </c>
      <c r="E109" s="67" t="s">
        <v>23</v>
      </c>
      <c r="F109" s="67" t="s">
        <v>27</v>
      </c>
      <c r="G109" s="67" t="s">
        <v>45</v>
      </c>
      <c r="H109" s="68">
        <v>38674</v>
      </c>
      <c r="I109" s="68">
        <v>38701</v>
      </c>
      <c r="J109" s="69">
        <v>6</v>
      </c>
      <c r="K109" s="70">
        <v>1.32</v>
      </c>
      <c r="L109" s="71">
        <v>80</v>
      </c>
      <c r="M109" s="71"/>
      <c r="N109" s="71">
        <f>L109/K109</f>
        <v>60.606060606060602</v>
      </c>
      <c r="O109" s="48" t="s">
        <v>64</v>
      </c>
      <c r="P109" s="72"/>
      <c r="Q109" s="72"/>
      <c r="R109" s="72"/>
      <c r="S109" s="72"/>
      <c r="T109" s="72"/>
      <c r="U109" s="72"/>
      <c r="V109" s="72"/>
      <c r="W109" s="72"/>
      <c r="X109" s="72"/>
      <c r="Y109" s="72"/>
      <c r="Z109" s="72"/>
      <c r="AA109" s="72"/>
      <c r="AB109" s="72"/>
      <c r="AC109" s="72">
        <f>N109*AG109*AF109</f>
        <v>2727.272727272727</v>
      </c>
      <c r="AD109" s="72">
        <f>$AC109*0.4089</f>
        <v>1115.181818181818</v>
      </c>
      <c r="AE109" s="72">
        <f>$AC109*0.0263</f>
        <v>71.72727272727272</v>
      </c>
      <c r="AF109" s="72">
        <v>30</v>
      </c>
      <c r="AG109" s="72">
        <v>1.5</v>
      </c>
      <c r="AI109" s="72"/>
      <c r="AJ109" s="72"/>
      <c r="AK109" s="72"/>
      <c r="AL109" s="72"/>
    </row>
    <row r="110" spans="1:38">
      <c r="A110" s="65">
        <v>109</v>
      </c>
      <c r="B110" s="147">
        <v>2005</v>
      </c>
      <c r="C110" s="66" t="s">
        <v>135</v>
      </c>
      <c r="D110" s="67" t="s">
        <v>105</v>
      </c>
      <c r="E110" s="67" t="s">
        <v>15</v>
      </c>
      <c r="F110" s="67" t="s">
        <v>35</v>
      </c>
      <c r="G110" s="75" t="s">
        <v>46</v>
      </c>
      <c r="H110" s="68">
        <v>38691</v>
      </c>
      <c r="I110" s="68"/>
      <c r="K110" s="70">
        <v>1.32</v>
      </c>
      <c r="L110" s="48">
        <v>51</v>
      </c>
      <c r="M110" s="48"/>
      <c r="N110" s="71">
        <f t="shared" ref="N110:N120" si="4">IF(L110/K110&gt;0, L110/K110,"")</f>
        <v>38.636363636363633</v>
      </c>
      <c r="O110" s="48" t="s">
        <v>5</v>
      </c>
      <c r="P110" s="72">
        <v>53.075000000000003</v>
      </c>
      <c r="Q110" s="72">
        <v>23.815000000000001</v>
      </c>
      <c r="R110" s="76">
        <v>0.5</v>
      </c>
      <c r="S110" s="72">
        <v>442.38499999999999</v>
      </c>
      <c r="T110" s="73">
        <v>9.36</v>
      </c>
      <c r="U110" s="72">
        <f>N110*1000*X110/100</f>
        <v>1189.9999999999998</v>
      </c>
      <c r="V110" s="72">
        <f>S110*U110/1000</f>
        <v>526.43814999999995</v>
      </c>
      <c r="W110" s="72">
        <f>P110*U110/1000</f>
        <v>63.159249999999993</v>
      </c>
      <c r="X110" s="72">
        <v>3.08</v>
      </c>
      <c r="Y110" s="72">
        <v>27.045454545454547</v>
      </c>
      <c r="Z110" s="73">
        <v>23.181818181818183</v>
      </c>
      <c r="AA110" s="73">
        <v>100.45454545454547</v>
      </c>
      <c r="AB110" s="73">
        <v>3.8636363636363646</v>
      </c>
      <c r="AC110" s="72"/>
      <c r="AD110" s="72">
        <f>$N110*1000*$X110*0.01*$S110*0.001</f>
        <v>526.43814999999995</v>
      </c>
      <c r="AE110" s="72">
        <f>$N110*1000*$X110*0.01*$P110*0.001</f>
        <v>63.159249999999993</v>
      </c>
      <c r="AF110" s="72"/>
      <c r="AG110" s="72"/>
      <c r="AH110" s="74"/>
      <c r="AI110" s="72"/>
      <c r="AJ110" s="72"/>
      <c r="AK110" s="72"/>
      <c r="AL110" s="72"/>
    </row>
    <row r="111" spans="1:38">
      <c r="A111" s="65">
        <v>110</v>
      </c>
      <c r="B111" s="147">
        <v>2005</v>
      </c>
      <c r="C111" s="79" t="s">
        <v>136</v>
      </c>
      <c r="D111" s="67" t="s">
        <v>105</v>
      </c>
      <c r="E111" s="67" t="s">
        <v>23</v>
      </c>
      <c r="F111" s="67" t="s">
        <v>33</v>
      </c>
      <c r="G111" s="67" t="s">
        <v>34</v>
      </c>
      <c r="H111" s="68">
        <v>38473</v>
      </c>
      <c r="I111" s="68"/>
      <c r="J111" s="69">
        <v>1</v>
      </c>
      <c r="K111" s="70">
        <v>3.34</v>
      </c>
      <c r="L111" s="48">
        <v>5</v>
      </c>
      <c r="M111" s="48"/>
      <c r="N111" s="71">
        <f t="shared" si="4"/>
        <v>1.4970059880239521</v>
      </c>
      <c r="O111" s="48" t="s">
        <v>65</v>
      </c>
      <c r="P111" s="72"/>
      <c r="Q111" s="72"/>
      <c r="R111" s="72"/>
      <c r="S111" s="72"/>
      <c r="T111" s="72"/>
      <c r="U111" s="72"/>
      <c r="V111" s="72"/>
      <c r="W111" s="72"/>
      <c r="X111" s="72">
        <v>37</v>
      </c>
      <c r="Y111" s="72"/>
      <c r="Z111" s="72"/>
      <c r="AA111" s="72"/>
      <c r="AB111" s="72"/>
      <c r="AC111" s="72">
        <f>N111*AG111*X111*0.01</f>
        <v>1661.6766467065868</v>
      </c>
      <c r="AD111" s="72">
        <f>$AC111*0.4089</f>
        <v>679.45958083832329</v>
      </c>
      <c r="AE111" s="72">
        <f>AC111*0.0263</f>
        <v>43.702095808383234</v>
      </c>
      <c r="AF111" s="72"/>
      <c r="AG111" s="72">
        <v>3000</v>
      </c>
      <c r="AI111" s="72"/>
      <c r="AJ111" s="72"/>
      <c r="AK111" s="72"/>
      <c r="AL111" s="72"/>
    </row>
    <row r="112" spans="1:38">
      <c r="A112" s="65">
        <v>111</v>
      </c>
      <c r="B112" s="147">
        <v>2005</v>
      </c>
      <c r="C112" s="79" t="s">
        <v>136</v>
      </c>
      <c r="D112" s="67" t="s">
        <v>105</v>
      </c>
      <c r="E112" s="67" t="s">
        <v>15</v>
      </c>
      <c r="F112" s="67" t="s">
        <v>35</v>
      </c>
      <c r="G112" s="67" t="s">
        <v>46</v>
      </c>
      <c r="H112" s="68">
        <v>38476</v>
      </c>
      <c r="I112" s="84"/>
      <c r="K112" s="70">
        <v>3.34</v>
      </c>
      <c r="L112" s="48">
        <v>140</v>
      </c>
      <c r="M112" s="48"/>
      <c r="N112" s="71">
        <f t="shared" si="4"/>
        <v>41.91616766467066</v>
      </c>
      <c r="O112" s="48" t="s">
        <v>5</v>
      </c>
      <c r="P112" s="72">
        <v>53.075000000000003</v>
      </c>
      <c r="Q112" s="72">
        <v>23.815000000000001</v>
      </c>
      <c r="R112" s="76">
        <v>0.5</v>
      </c>
      <c r="S112" s="72">
        <v>442.38499999999999</v>
      </c>
      <c r="T112" s="73">
        <v>9.36</v>
      </c>
      <c r="U112" s="72">
        <f>N112*1000*X112/100</f>
        <v>1291.0179640718563</v>
      </c>
      <c r="V112" s="72">
        <f>S112*U112/1000</f>
        <v>571.12698203592822</v>
      </c>
      <c r="W112" s="72">
        <f>P112*U112/1000</f>
        <v>68.520778443113784</v>
      </c>
      <c r="X112" s="72">
        <v>3.08</v>
      </c>
      <c r="Y112" s="72">
        <v>29.341317365269461</v>
      </c>
      <c r="Z112" s="73">
        <v>25.149700598802397</v>
      </c>
      <c r="AA112" s="73">
        <v>108.98203592814372</v>
      </c>
      <c r="AB112" s="73">
        <v>4.1916167664670665</v>
      </c>
      <c r="AC112" s="72"/>
      <c r="AD112" s="72">
        <f>$N112*1000*$X112*0.01*$S112*0.001</f>
        <v>571.12698203592822</v>
      </c>
      <c r="AE112" s="72">
        <f>$N112*1000*$X112*0.01*$P112*0.001</f>
        <v>68.520778443113784</v>
      </c>
      <c r="AF112" s="72"/>
      <c r="AG112" s="72"/>
      <c r="AH112" s="74"/>
      <c r="AI112" s="72"/>
      <c r="AJ112" s="72"/>
      <c r="AK112" s="72"/>
      <c r="AL112" s="72"/>
    </row>
    <row r="113" spans="1:38">
      <c r="A113" s="65">
        <v>112</v>
      </c>
      <c r="B113" s="147">
        <v>2005</v>
      </c>
      <c r="C113" s="79" t="s">
        <v>136</v>
      </c>
      <c r="D113" s="67" t="s">
        <v>105</v>
      </c>
      <c r="E113" s="67" t="s">
        <v>15</v>
      </c>
      <c r="F113" s="67" t="s">
        <v>35</v>
      </c>
      <c r="G113" s="67" t="s">
        <v>46</v>
      </c>
      <c r="H113" s="68">
        <v>38505</v>
      </c>
      <c r="I113" s="68"/>
      <c r="K113" s="70">
        <v>3.34</v>
      </c>
      <c r="L113" s="48">
        <v>129</v>
      </c>
      <c r="M113" s="48"/>
      <c r="N113" s="71">
        <f t="shared" si="4"/>
        <v>38.622754491017965</v>
      </c>
      <c r="O113" s="48" t="s">
        <v>5</v>
      </c>
      <c r="P113" s="72">
        <v>53.075000000000003</v>
      </c>
      <c r="Q113" s="72">
        <v>23.815000000000001</v>
      </c>
      <c r="R113" s="76">
        <v>0.5</v>
      </c>
      <c r="S113" s="72">
        <v>442.38499999999999</v>
      </c>
      <c r="T113" s="73">
        <v>9.36</v>
      </c>
      <c r="U113" s="72">
        <f>N113*1000*X113/100</f>
        <v>1189.5808383233534</v>
      </c>
      <c r="V113" s="72">
        <f>S113*U113/1000</f>
        <v>526.25271916167674</v>
      </c>
      <c r="W113" s="72">
        <f>P113*U113/1000</f>
        <v>63.137002994011986</v>
      </c>
      <c r="X113" s="72">
        <v>3.08</v>
      </c>
      <c r="Y113" s="72">
        <v>26.95</v>
      </c>
      <c r="Z113" s="73">
        <v>23.1</v>
      </c>
      <c r="AA113" s="73">
        <v>100.10000000000001</v>
      </c>
      <c r="AB113" s="73">
        <v>3.8500000000000005</v>
      </c>
      <c r="AC113" s="72"/>
      <c r="AD113" s="72">
        <f>$N113*1000*$X113*0.01*$S113*0.001</f>
        <v>526.25271916167674</v>
      </c>
      <c r="AE113" s="72">
        <f>$N113*1000*$X113*0.01*$P113*0.001</f>
        <v>63.137002994011986</v>
      </c>
      <c r="AF113" s="72"/>
      <c r="AG113" s="72"/>
      <c r="AH113" s="74"/>
      <c r="AI113" s="72"/>
      <c r="AJ113" s="72"/>
      <c r="AK113" s="72"/>
      <c r="AL113" s="72"/>
    </row>
    <row r="114" spans="1:38">
      <c r="A114" s="65">
        <v>113</v>
      </c>
      <c r="B114" s="147">
        <v>2005</v>
      </c>
      <c r="C114" s="79" t="s">
        <v>136</v>
      </c>
      <c r="D114" s="67" t="s">
        <v>105</v>
      </c>
      <c r="E114" s="67" t="s">
        <v>23</v>
      </c>
      <c r="F114" s="67" t="s">
        <v>33</v>
      </c>
      <c r="G114" s="67" t="s">
        <v>34</v>
      </c>
      <c r="H114" s="68">
        <v>38531</v>
      </c>
      <c r="I114" s="68"/>
      <c r="J114" s="69">
        <v>2</v>
      </c>
      <c r="K114" s="70">
        <v>3.34</v>
      </c>
      <c r="L114" s="48">
        <v>2.5</v>
      </c>
      <c r="M114" s="48"/>
      <c r="N114" s="71">
        <f t="shared" si="4"/>
        <v>0.74850299401197606</v>
      </c>
      <c r="O114" s="48" t="s">
        <v>65</v>
      </c>
      <c r="P114" s="72"/>
      <c r="Q114" s="72"/>
      <c r="R114" s="72"/>
      <c r="S114" s="72"/>
      <c r="T114" s="72"/>
      <c r="U114" s="72"/>
      <c r="V114" s="72"/>
      <c r="W114" s="72"/>
      <c r="X114" s="72">
        <v>37</v>
      </c>
      <c r="Y114" s="72"/>
      <c r="Z114" s="72"/>
      <c r="AA114" s="72"/>
      <c r="AB114" s="72"/>
      <c r="AC114" s="72">
        <f>N114*AG114*X114*0.01</f>
        <v>830.83832335329339</v>
      </c>
      <c r="AD114" s="72">
        <f>$AC114*0.4089</f>
        <v>339.72979041916165</v>
      </c>
      <c r="AE114" s="72">
        <f>AC114*0.0263</f>
        <v>21.851047904191617</v>
      </c>
      <c r="AF114" s="72"/>
      <c r="AG114" s="72">
        <v>3000</v>
      </c>
      <c r="AI114" s="72"/>
      <c r="AJ114" s="72"/>
      <c r="AK114" s="72"/>
      <c r="AL114" s="72"/>
    </row>
    <row r="115" spans="1:38">
      <c r="A115" s="65">
        <v>114</v>
      </c>
      <c r="B115" s="147">
        <v>2005</v>
      </c>
      <c r="C115" s="79" t="s">
        <v>136</v>
      </c>
      <c r="D115" s="67" t="s">
        <v>105</v>
      </c>
      <c r="E115" s="67" t="s">
        <v>23</v>
      </c>
      <c r="F115" s="67" t="s">
        <v>33</v>
      </c>
      <c r="G115" s="67" t="s">
        <v>34</v>
      </c>
      <c r="H115" s="68">
        <v>38560</v>
      </c>
      <c r="I115" s="68"/>
      <c r="J115" s="69">
        <v>3</v>
      </c>
      <c r="K115" s="70">
        <v>3.34</v>
      </c>
      <c r="L115" s="48">
        <v>1</v>
      </c>
      <c r="M115" s="48"/>
      <c r="N115" s="71">
        <f t="shared" si="4"/>
        <v>0.29940119760479045</v>
      </c>
      <c r="O115" s="48" t="s">
        <v>65</v>
      </c>
      <c r="P115" s="72"/>
      <c r="Q115" s="72"/>
      <c r="R115" s="72"/>
      <c r="S115" s="72"/>
      <c r="T115" s="72"/>
      <c r="U115" s="72"/>
      <c r="V115" s="72"/>
      <c r="W115" s="72"/>
      <c r="X115" s="72">
        <v>37</v>
      </c>
      <c r="Y115" s="72"/>
      <c r="Z115" s="72"/>
      <c r="AA115" s="72"/>
      <c r="AB115" s="72"/>
      <c r="AC115" s="72">
        <f>N115*AG115*X115*0.01</f>
        <v>332.33532934131739</v>
      </c>
      <c r="AD115" s="72">
        <f>$AC115*0.4089</f>
        <v>135.89191616766468</v>
      </c>
      <c r="AE115" s="72">
        <f>AC115*0.0263</f>
        <v>8.7404191616766482</v>
      </c>
      <c r="AF115" s="72"/>
      <c r="AG115" s="72">
        <v>3000</v>
      </c>
      <c r="AI115" s="72"/>
      <c r="AJ115" s="72"/>
      <c r="AK115" s="72"/>
      <c r="AL115" s="72"/>
    </row>
    <row r="116" spans="1:38">
      <c r="A116" s="65">
        <v>115</v>
      </c>
      <c r="B116" s="147">
        <v>2005</v>
      </c>
      <c r="C116" s="79" t="s">
        <v>136</v>
      </c>
      <c r="D116" s="67" t="s">
        <v>105</v>
      </c>
      <c r="E116" s="67" t="s">
        <v>23</v>
      </c>
      <c r="F116" s="67" t="s">
        <v>33</v>
      </c>
      <c r="G116" s="67" t="s">
        <v>34</v>
      </c>
      <c r="H116" s="68">
        <v>38561</v>
      </c>
      <c r="I116" s="68"/>
      <c r="J116" s="69">
        <v>3</v>
      </c>
      <c r="K116" s="70">
        <v>3.34</v>
      </c>
      <c r="L116" s="48">
        <v>2.5</v>
      </c>
      <c r="M116" s="48"/>
      <c r="N116" s="71">
        <f>IF(L116/K116&gt;0, L116/K116,"")</f>
        <v>0.74850299401197606</v>
      </c>
      <c r="O116" s="48" t="s">
        <v>65</v>
      </c>
      <c r="P116" s="72"/>
      <c r="Q116" s="72"/>
      <c r="R116" s="72"/>
      <c r="S116" s="72"/>
      <c r="T116" s="72"/>
      <c r="U116" s="72"/>
      <c r="V116" s="72"/>
      <c r="W116" s="72"/>
      <c r="X116" s="72">
        <v>37</v>
      </c>
      <c r="Y116" s="72"/>
      <c r="Z116" s="72"/>
      <c r="AA116" s="72"/>
      <c r="AB116" s="72"/>
      <c r="AC116" s="72">
        <f>N116*AG116*X116*0.01</f>
        <v>830.83832335329339</v>
      </c>
      <c r="AD116" s="72">
        <f>$AC116*0.4089</f>
        <v>339.72979041916165</v>
      </c>
      <c r="AE116" s="72">
        <f>AC116*0.0263</f>
        <v>21.851047904191617</v>
      </c>
      <c r="AF116" s="72"/>
      <c r="AG116" s="72">
        <v>3000</v>
      </c>
      <c r="AI116" s="72"/>
      <c r="AJ116" s="72"/>
      <c r="AK116" s="72"/>
      <c r="AL116" s="72"/>
    </row>
    <row r="117" spans="1:38">
      <c r="A117" s="65">
        <v>116</v>
      </c>
      <c r="B117" s="147">
        <v>2005</v>
      </c>
      <c r="C117" s="79" t="s">
        <v>136</v>
      </c>
      <c r="D117" s="67" t="s">
        <v>105</v>
      </c>
      <c r="E117" s="67" t="s">
        <v>15</v>
      </c>
      <c r="F117" s="67" t="s">
        <v>35</v>
      </c>
      <c r="G117" s="67" t="s">
        <v>46</v>
      </c>
      <c r="H117" s="68">
        <v>38567</v>
      </c>
      <c r="I117" s="68"/>
      <c r="K117" s="70">
        <v>3.34</v>
      </c>
      <c r="L117" s="48">
        <v>43</v>
      </c>
      <c r="M117" s="48"/>
      <c r="N117" s="71">
        <f t="shared" si="4"/>
        <v>12.874251497005989</v>
      </c>
      <c r="O117" s="48" t="s">
        <v>5</v>
      </c>
      <c r="P117" s="72">
        <v>53.075000000000003</v>
      </c>
      <c r="Q117" s="72">
        <v>23.815000000000001</v>
      </c>
      <c r="R117" s="76">
        <v>0.5</v>
      </c>
      <c r="S117" s="72">
        <v>442.38499999999999</v>
      </c>
      <c r="T117" s="73">
        <v>9.36</v>
      </c>
      <c r="U117" s="72">
        <f>N117*1000*X117/100</f>
        <v>396.52694610778445</v>
      </c>
      <c r="V117" s="72">
        <f>S117*U117/1000</f>
        <v>175.41757305389223</v>
      </c>
      <c r="W117" s="72">
        <f>P117*U117/1000</f>
        <v>21.045667664670663</v>
      </c>
      <c r="X117" s="72">
        <v>3.08</v>
      </c>
      <c r="Y117" s="72">
        <v>8.9600000000000009</v>
      </c>
      <c r="Z117" s="73">
        <v>7.68</v>
      </c>
      <c r="AA117" s="73">
        <v>33.28</v>
      </c>
      <c r="AB117" s="73">
        <v>1.2800000000000002</v>
      </c>
      <c r="AC117" s="72"/>
      <c r="AD117" s="72">
        <f>$N117*1000*$X117*0.01*$S117*0.001</f>
        <v>175.41757305389223</v>
      </c>
      <c r="AE117" s="72">
        <f>$N117*1000*$X117*0.01*$P117*0.001</f>
        <v>21.045667664670663</v>
      </c>
      <c r="AF117" s="72"/>
      <c r="AG117" s="72"/>
      <c r="AH117" s="74"/>
      <c r="AI117" s="72"/>
      <c r="AJ117" s="72"/>
      <c r="AK117" s="72"/>
      <c r="AL117" s="72"/>
    </row>
    <row r="118" spans="1:38">
      <c r="A118" s="65">
        <v>117</v>
      </c>
      <c r="B118" s="147">
        <v>2005</v>
      </c>
      <c r="C118" s="79" t="s">
        <v>136</v>
      </c>
      <c r="D118" s="67" t="s">
        <v>105</v>
      </c>
      <c r="E118" s="67" t="s">
        <v>23</v>
      </c>
      <c r="F118" s="67" t="s">
        <v>33</v>
      </c>
      <c r="G118" s="67" t="s">
        <v>34</v>
      </c>
      <c r="H118" s="68">
        <v>38595</v>
      </c>
      <c r="I118" s="68"/>
      <c r="J118" s="69">
        <v>4</v>
      </c>
      <c r="K118" s="70">
        <v>3.34</v>
      </c>
      <c r="L118" s="48">
        <v>2.5</v>
      </c>
      <c r="M118" s="48"/>
      <c r="N118" s="71">
        <f t="shared" si="4"/>
        <v>0.74850299401197606</v>
      </c>
      <c r="O118" s="48" t="s">
        <v>65</v>
      </c>
      <c r="P118" s="72"/>
      <c r="Q118" s="72"/>
      <c r="R118" s="72"/>
      <c r="S118" s="72"/>
      <c r="T118" s="72"/>
      <c r="U118" s="72"/>
      <c r="V118" s="72"/>
      <c r="W118" s="72"/>
      <c r="X118" s="72">
        <v>37</v>
      </c>
      <c r="Y118" s="72"/>
      <c r="Z118" s="72"/>
      <c r="AA118" s="72"/>
      <c r="AB118" s="72"/>
      <c r="AC118" s="72">
        <f>N118*AG118*X118*0.01</f>
        <v>830.83832335329339</v>
      </c>
      <c r="AD118" s="72">
        <f>$AC118*0.4089</f>
        <v>339.72979041916165</v>
      </c>
      <c r="AE118" s="72">
        <f>AC118*0.0263</f>
        <v>21.851047904191617</v>
      </c>
      <c r="AF118" s="72"/>
      <c r="AG118" s="72">
        <v>3000</v>
      </c>
      <c r="AI118" s="72"/>
      <c r="AJ118" s="72"/>
      <c r="AK118" s="72"/>
      <c r="AL118" s="72"/>
    </row>
    <row r="119" spans="1:38">
      <c r="A119" s="65">
        <v>118</v>
      </c>
      <c r="B119" s="147">
        <v>2005</v>
      </c>
      <c r="C119" s="79" t="s">
        <v>136</v>
      </c>
      <c r="D119" s="67" t="s">
        <v>105</v>
      </c>
      <c r="E119" s="67" t="s">
        <v>23</v>
      </c>
      <c r="F119" s="67" t="s">
        <v>33</v>
      </c>
      <c r="G119" s="67" t="s">
        <v>34</v>
      </c>
      <c r="H119" s="68">
        <v>38596</v>
      </c>
      <c r="I119" s="68"/>
      <c r="J119" s="69">
        <v>4</v>
      </c>
      <c r="K119" s="70">
        <v>3.34</v>
      </c>
      <c r="L119" s="48">
        <v>2</v>
      </c>
      <c r="M119" s="48"/>
      <c r="N119" s="71">
        <f t="shared" si="4"/>
        <v>0.5988023952095809</v>
      </c>
      <c r="O119" s="48" t="s">
        <v>65</v>
      </c>
      <c r="P119" s="72"/>
      <c r="Q119" s="72"/>
      <c r="R119" s="72"/>
      <c r="S119" s="72"/>
      <c r="T119" s="72"/>
      <c r="U119" s="72"/>
      <c r="V119" s="72"/>
      <c r="W119" s="72"/>
      <c r="X119" s="72">
        <v>37</v>
      </c>
      <c r="Y119" s="72"/>
      <c r="Z119" s="72"/>
      <c r="AA119" s="72"/>
      <c r="AB119" s="72"/>
      <c r="AC119" s="72">
        <f>N119*AG119*X119*0.01</f>
        <v>664.67065868263478</v>
      </c>
      <c r="AD119" s="72">
        <f>$AC119*0.4089</f>
        <v>271.78383233532935</v>
      </c>
      <c r="AE119" s="72">
        <f>AC119*0.0263</f>
        <v>17.480838323353296</v>
      </c>
      <c r="AF119" s="72"/>
      <c r="AG119" s="72">
        <v>3000</v>
      </c>
      <c r="AI119" s="72"/>
      <c r="AJ119" s="72"/>
      <c r="AK119" s="72"/>
      <c r="AL119" s="72"/>
    </row>
    <row r="120" spans="1:38">
      <c r="A120" s="65">
        <v>119</v>
      </c>
      <c r="B120" s="147">
        <v>2005</v>
      </c>
      <c r="C120" s="79" t="s">
        <v>136</v>
      </c>
      <c r="D120" s="67" t="s">
        <v>105</v>
      </c>
      <c r="E120" s="67" t="s">
        <v>23</v>
      </c>
      <c r="F120" s="67" t="s">
        <v>33</v>
      </c>
      <c r="G120" s="78" t="s">
        <v>41</v>
      </c>
      <c r="H120" s="68">
        <v>38616</v>
      </c>
      <c r="I120" s="68"/>
      <c r="J120" s="69">
        <v>5</v>
      </c>
      <c r="K120" s="70">
        <v>3.34</v>
      </c>
      <c r="L120" s="48">
        <v>1.5</v>
      </c>
      <c r="M120" s="48"/>
      <c r="N120" s="71">
        <f t="shared" si="4"/>
        <v>0.44910179640718567</v>
      </c>
      <c r="O120" s="48" t="s">
        <v>65</v>
      </c>
      <c r="P120" s="72"/>
      <c r="Q120" s="72"/>
      <c r="R120" s="72"/>
      <c r="S120" s="72"/>
      <c r="T120" s="72"/>
      <c r="U120" s="72"/>
      <c r="V120" s="72"/>
      <c r="W120" s="72"/>
      <c r="X120" s="72">
        <v>70</v>
      </c>
      <c r="Y120" s="72"/>
      <c r="Z120" s="72"/>
      <c r="AA120" s="72"/>
      <c r="AB120" s="72"/>
      <c r="AC120" s="72">
        <f>N120*AG120*X120*0.01</f>
        <v>471.55688622754496</v>
      </c>
      <c r="AD120" s="72">
        <f>$AC120*0.4089</f>
        <v>192.81961077844312</v>
      </c>
      <c r="AE120" s="72">
        <f>AC120*0.0263</f>
        <v>12.401946107784433</v>
      </c>
      <c r="AF120" s="72"/>
      <c r="AG120" s="72">
        <v>1500</v>
      </c>
      <c r="AI120" s="72"/>
      <c r="AJ120" s="72"/>
      <c r="AK120" s="72"/>
      <c r="AL120" s="72"/>
    </row>
    <row r="121" spans="1:38">
      <c r="A121" s="65">
        <v>120</v>
      </c>
      <c r="B121" s="147">
        <v>2005</v>
      </c>
      <c r="C121" s="79" t="s">
        <v>136</v>
      </c>
      <c r="D121" s="67" t="s">
        <v>105</v>
      </c>
      <c r="E121" s="67" t="s">
        <v>23</v>
      </c>
      <c r="F121" s="67" t="s">
        <v>27</v>
      </c>
      <c r="G121" s="67" t="s">
        <v>45</v>
      </c>
      <c r="H121" s="68">
        <v>38680</v>
      </c>
      <c r="I121" s="68">
        <v>38701</v>
      </c>
      <c r="J121" s="69">
        <v>6</v>
      </c>
      <c r="K121" s="70">
        <v>3.34</v>
      </c>
      <c r="L121" s="71">
        <v>80</v>
      </c>
      <c r="M121" s="71"/>
      <c r="N121" s="71">
        <f>L121/K121</f>
        <v>23.952095808383234</v>
      </c>
      <c r="O121" s="48" t="s">
        <v>64</v>
      </c>
      <c r="P121" s="72"/>
      <c r="Q121" s="72"/>
      <c r="R121" s="72"/>
      <c r="S121" s="72"/>
      <c r="T121" s="72"/>
      <c r="U121" s="72"/>
      <c r="V121" s="72"/>
      <c r="W121" s="72"/>
      <c r="X121" s="72"/>
      <c r="Y121" s="72"/>
      <c r="Z121" s="72"/>
      <c r="AA121" s="72"/>
      <c r="AB121" s="72"/>
      <c r="AC121" s="72">
        <f>N121*AG121*AF121</f>
        <v>1077.8443113772455</v>
      </c>
      <c r="AD121" s="72">
        <f>$AC121*0.4089</f>
        <v>440.73053892215569</v>
      </c>
      <c r="AE121" s="72">
        <f>$AC121*0.0263</f>
        <v>28.347305389221557</v>
      </c>
      <c r="AF121" s="72">
        <v>30</v>
      </c>
      <c r="AG121" s="72">
        <v>1.5</v>
      </c>
      <c r="AI121" s="72"/>
      <c r="AJ121" s="72"/>
      <c r="AK121" s="72"/>
      <c r="AL121" s="72"/>
    </row>
    <row r="122" spans="1:38">
      <c r="A122" s="65">
        <v>121</v>
      </c>
      <c r="B122" s="147">
        <v>2005</v>
      </c>
      <c r="C122" s="79" t="s">
        <v>136</v>
      </c>
      <c r="D122" s="67" t="s">
        <v>105</v>
      </c>
      <c r="E122" s="67" t="s">
        <v>15</v>
      </c>
      <c r="F122" s="67" t="s">
        <v>35</v>
      </c>
      <c r="G122" s="75" t="s">
        <v>46</v>
      </c>
      <c r="H122" s="68">
        <v>38691</v>
      </c>
      <c r="I122" s="68"/>
      <c r="K122" s="70">
        <v>3.34</v>
      </c>
      <c r="L122" s="48">
        <v>129</v>
      </c>
      <c r="M122" s="48"/>
      <c r="N122" s="71">
        <f>IF(L122/K122&gt;0, L122/K122,"")</f>
        <v>38.622754491017965</v>
      </c>
      <c r="O122" s="48" t="s">
        <v>5</v>
      </c>
      <c r="P122" s="72">
        <v>53.075000000000003</v>
      </c>
      <c r="Q122" s="72">
        <v>23.815000000000001</v>
      </c>
      <c r="R122" s="76">
        <v>0.5</v>
      </c>
      <c r="S122" s="72">
        <v>442.38499999999999</v>
      </c>
      <c r="T122" s="73">
        <v>9.36</v>
      </c>
      <c r="U122" s="72">
        <f>N122*1000*X122/100</f>
        <v>1189.5808383233534</v>
      </c>
      <c r="V122" s="72">
        <f>S122*U122/1000</f>
        <v>526.25271916167674</v>
      </c>
      <c r="W122" s="72">
        <f>P122*U122/1000</f>
        <v>63.137002994011986</v>
      </c>
      <c r="X122" s="72">
        <v>3.08</v>
      </c>
      <c r="Y122" s="72">
        <v>27.035928143712574</v>
      </c>
      <c r="Z122" s="73">
        <v>23.173652694610777</v>
      </c>
      <c r="AA122" s="73">
        <v>100.41916167664672</v>
      </c>
      <c r="AB122" s="73">
        <v>3.8622754491017965</v>
      </c>
      <c r="AC122" s="72"/>
      <c r="AD122" s="72">
        <f>$N122*1000*$X122*0.01*$S122*0.001</f>
        <v>526.25271916167674</v>
      </c>
      <c r="AE122" s="72">
        <f>$N122*1000*$X122*0.01*$P122*0.001</f>
        <v>63.137002994011986</v>
      </c>
      <c r="AF122" s="72"/>
      <c r="AG122" s="72"/>
      <c r="AH122" s="74"/>
      <c r="AI122" s="72"/>
      <c r="AJ122" s="72"/>
      <c r="AK122" s="72"/>
      <c r="AL122" s="72"/>
    </row>
    <row r="123" spans="1:38">
      <c r="A123" s="65">
        <v>122</v>
      </c>
      <c r="B123" s="148">
        <v>2006</v>
      </c>
      <c r="C123" s="66" t="s">
        <v>135</v>
      </c>
      <c r="D123" s="67" t="s">
        <v>105</v>
      </c>
      <c r="E123" s="67" t="s">
        <v>15</v>
      </c>
      <c r="F123" s="67" t="s">
        <v>35</v>
      </c>
      <c r="G123" s="67" t="s">
        <v>46</v>
      </c>
      <c r="H123" s="68">
        <v>38800</v>
      </c>
      <c r="I123" s="84"/>
      <c r="K123" s="70">
        <v>1.4</v>
      </c>
      <c r="L123" s="48">
        <v>35.4</v>
      </c>
      <c r="M123" s="48"/>
      <c r="N123" s="71">
        <f>IF(L123/K123&gt;0, L123/K123,"")</f>
        <v>25.285714285714285</v>
      </c>
      <c r="O123" s="48" t="s">
        <v>5</v>
      </c>
      <c r="P123" s="72">
        <v>53.075000000000003</v>
      </c>
      <c r="Q123" s="72">
        <v>23.815000000000001</v>
      </c>
      <c r="R123" s="76">
        <v>0.5</v>
      </c>
      <c r="S123" s="72">
        <v>442.38499999999999</v>
      </c>
      <c r="T123" s="73">
        <v>9.36</v>
      </c>
      <c r="U123" s="72">
        <f>N123*1000*X123/100</f>
        <v>778.8</v>
      </c>
      <c r="V123" s="72">
        <f>S123*U123/1000</f>
        <v>344.52943799999997</v>
      </c>
      <c r="W123" s="72">
        <f>P123*U123/1000</f>
        <v>41.334809999999997</v>
      </c>
      <c r="X123" s="72">
        <v>3.08</v>
      </c>
      <c r="Y123" s="72">
        <v>18</v>
      </c>
      <c r="Z123" s="73">
        <v>15</v>
      </c>
      <c r="AA123" s="73">
        <v>66</v>
      </c>
      <c r="AB123" s="73">
        <v>3</v>
      </c>
      <c r="AC123" s="72"/>
      <c r="AD123" s="72">
        <f>$N123*1000*$X123*0.01*$S123*0.001</f>
        <v>344.52943800000003</v>
      </c>
      <c r="AE123" s="72">
        <f>$N123*1000*$X123*0.01*$P123*0.001</f>
        <v>41.334810000000004</v>
      </c>
      <c r="AF123" s="72"/>
      <c r="AG123" s="72"/>
      <c r="AH123" s="74"/>
      <c r="AI123" s="72"/>
      <c r="AJ123" s="72"/>
      <c r="AK123" s="72"/>
      <c r="AL123" s="72"/>
    </row>
    <row r="124" spans="1:38">
      <c r="A124" s="65">
        <v>123</v>
      </c>
      <c r="B124" s="148">
        <v>2006</v>
      </c>
      <c r="C124" s="66" t="s">
        <v>135</v>
      </c>
      <c r="D124" s="67" t="s">
        <v>105</v>
      </c>
      <c r="E124" s="67" t="s">
        <v>24</v>
      </c>
      <c r="F124" s="67" t="s">
        <v>28</v>
      </c>
      <c r="G124" s="77" t="s">
        <v>124</v>
      </c>
      <c r="H124" s="68">
        <v>38803</v>
      </c>
      <c r="I124" s="68"/>
      <c r="K124" s="70">
        <v>1.4</v>
      </c>
      <c r="L124" s="72"/>
      <c r="M124" s="72"/>
      <c r="N124" s="72"/>
      <c r="P124" s="72"/>
      <c r="Q124" s="72"/>
      <c r="R124" s="72"/>
      <c r="S124" s="72"/>
      <c r="T124" s="72"/>
      <c r="U124" s="72"/>
      <c r="V124" s="72"/>
      <c r="W124" s="72"/>
      <c r="X124" s="72"/>
      <c r="Y124" s="72"/>
      <c r="Z124" s="72"/>
      <c r="AA124" s="72"/>
      <c r="AB124" s="72"/>
      <c r="AC124" s="72"/>
      <c r="AD124" s="72"/>
      <c r="AE124" s="72"/>
      <c r="AF124" s="72"/>
      <c r="AG124" s="72"/>
      <c r="AH124" s="74"/>
      <c r="AI124" s="72"/>
      <c r="AJ124" s="72"/>
      <c r="AK124" s="72"/>
      <c r="AL124" s="72"/>
    </row>
    <row r="125" spans="1:38">
      <c r="A125" s="65">
        <v>124</v>
      </c>
      <c r="B125" s="148">
        <v>2006</v>
      </c>
      <c r="C125" s="66" t="s">
        <v>135</v>
      </c>
      <c r="D125" s="67" t="s">
        <v>105</v>
      </c>
      <c r="E125" s="67" t="s">
        <v>23</v>
      </c>
      <c r="F125" s="67" t="s">
        <v>33</v>
      </c>
      <c r="G125" s="67" t="s">
        <v>34</v>
      </c>
      <c r="H125" s="68">
        <v>38840</v>
      </c>
      <c r="I125" s="68">
        <v>38841</v>
      </c>
      <c r="J125" s="69">
        <v>1</v>
      </c>
      <c r="K125" s="70">
        <v>1.4</v>
      </c>
      <c r="L125" s="48">
        <v>1.5</v>
      </c>
      <c r="M125" s="48"/>
      <c r="N125" s="71">
        <f t="shared" ref="N125:N136" si="5">IF(L125/K125&gt;0, L125/K125,"")</f>
        <v>1.0714285714285714</v>
      </c>
      <c r="O125" s="48" t="s">
        <v>65</v>
      </c>
      <c r="P125" s="72"/>
      <c r="Q125" s="72"/>
      <c r="R125" s="72"/>
      <c r="S125" s="72"/>
      <c r="T125" s="72"/>
      <c r="U125" s="72"/>
      <c r="V125" s="72"/>
      <c r="W125" s="72"/>
      <c r="X125" s="72">
        <v>37</v>
      </c>
      <c r="Y125" s="72"/>
      <c r="Z125" s="72"/>
      <c r="AA125" s="72"/>
      <c r="AB125" s="72"/>
      <c r="AC125" s="72">
        <f>N125*AG125*X125*0.01</f>
        <v>1189.2857142857142</v>
      </c>
      <c r="AD125" s="72">
        <f>AC125*0.4089</f>
        <v>486.29892857142852</v>
      </c>
      <c r="AE125" s="72">
        <f>AC125*0.0263</f>
        <v>31.278214285714284</v>
      </c>
      <c r="AF125" s="72"/>
      <c r="AG125" s="72">
        <v>3000</v>
      </c>
      <c r="AI125" s="72"/>
      <c r="AJ125" s="72"/>
      <c r="AK125" s="72"/>
      <c r="AL125" s="72"/>
    </row>
    <row r="126" spans="1:38">
      <c r="A126" s="65">
        <v>125</v>
      </c>
      <c r="B126" s="148">
        <v>2006</v>
      </c>
      <c r="C126" s="66" t="s">
        <v>135</v>
      </c>
      <c r="D126" s="67" t="s">
        <v>105</v>
      </c>
      <c r="E126" s="67" t="s">
        <v>15</v>
      </c>
      <c r="F126" s="67" t="s">
        <v>35</v>
      </c>
      <c r="G126" s="67" t="s">
        <v>46</v>
      </c>
      <c r="H126" s="68">
        <v>38842</v>
      </c>
      <c r="I126" s="68"/>
      <c r="K126" s="70">
        <v>1.4</v>
      </c>
      <c r="L126" s="48">
        <v>50</v>
      </c>
      <c r="M126" s="48"/>
      <c r="N126" s="71">
        <f t="shared" si="5"/>
        <v>35.714285714285715</v>
      </c>
      <c r="O126" s="48" t="s">
        <v>5</v>
      </c>
      <c r="P126" s="72">
        <v>53.075000000000003</v>
      </c>
      <c r="Q126" s="72">
        <v>23.815000000000001</v>
      </c>
      <c r="R126" s="76">
        <v>0.5</v>
      </c>
      <c r="S126" s="72">
        <v>442.38499999999999</v>
      </c>
      <c r="T126" s="73">
        <v>9.36</v>
      </c>
      <c r="U126" s="72">
        <f>N126*1000*X126/100</f>
        <v>1100.0000000000002</v>
      </c>
      <c r="V126" s="72">
        <f>S126*U126/1000</f>
        <v>486.62350000000009</v>
      </c>
      <c r="W126" s="72">
        <f>P126*U126/1000</f>
        <v>58.382500000000014</v>
      </c>
      <c r="X126" s="72">
        <v>3.08</v>
      </c>
      <c r="Y126" s="72">
        <v>25</v>
      </c>
      <c r="Z126" s="73">
        <v>21</v>
      </c>
      <c r="AA126" s="73">
        <v>93</v>
      </c>
      <c r="AB126" s="73">
        <v>4</v>
      </c>
      <c r="AC126" s="72"/>
      <c r="AD126" s="72">
        <f>$N126*1000*$X126*0.01*$S126*0.001</f>
        <v>486.62350000000015</v>
      </c>
      <c r="AE126" s="72">
        <f>$N126*1000*$X126*0.01*$P126*0.001</f>
        <v>58.382500000000014</v>
      </c>
      <c r="AF126" s="72"/>
      <c r="AG126" s="72"/>
      <c r="AH126" s="74"/>
      <c r="AI126" s="72"/>
      <c r="AJ126" s="72"/>
      <c r="AK126" s="72"/>
      <c r="AL126" s="72"/>
    </row>
    <row r="127" spans="1:38">
      <c r="A127" s="65">
        <v>126</v>
      </c>
      <c r="B127" s="148">
        <v>2006</v>
      </c>
      <c r="C127" s="66" t="s">
        <v>135</v>
      </c>
      <c r="D127" s="67" t="s">
        <v>105</v>
      </c>
      <c r="E127" s="67" t="s">
        <v>23</v>
      </c>
      <c r="F127" s="67" t="s">
        <v>33</v>
      </c>
      <c r="G127" s="67" t="s">
        <v>34</v>
      </c>
      <c r="H127" s="68">
        <v>38877</v>
      </c>
      <c r="I127" s="68"/>
      <c r="J127" s="69">
        <v>3</v>
      </c>
      <c r="K127" s="70">
        <v>1.4</v>
      </c>
      <c r="L127" s="48">
        <v>0.8</v>
      </c>
      <c r="M127" s="48"/>
      <c r="N127" s="71">
        <f t="shared" si="5"/>
        <v>0.57142857142857151</v>
      </c>
      <c r="O127" s="48" t="s">
        <v>65</v>
      </c>
      <c r="P127" s="72"/>
      <c r="Q127" s="72"/>
      <c r="R127" s="72"/>
      <c r="S127" s="72"/>
      <c r="T127" s="72"/>
      <c r="U127" s="72"/>
      <c r="V127" s="72"/>
      <c r="W127" s="72"/>
      <c r="X127" s="72">
        <v>37</v>
      </c>
      <c r="Y127" s="72"/>
      <c r="Z127" s="72"/>
      <c r="AA127" s="72"/>
      <c r="AB127" s="72"/>
      <c r="AC127" s="72">
        <f>N127*AG127*X127*0.01</f>
        <v>634.28571428571433</v>
      </c>
      <c r="AD127" s="72">
        <f>AC127*0.4089</f>
        <v>259.35942857142857</v>
      </c>
      <c r="AE127" s="72">
        <f>AC127*0.0263</f>
        <v>16.681714285714289</v>
      </c>
      <c r="AF127" s="72"/>
      <c r="AG127" s="72">
        <v>3000</v>
      </c>
      <c r="AI127" s="72"/>
      <c r="AJ127" s="72"/>
      <c r="AK127" s="72"/>
      <c r="AL127" s="72"/>
    </row>
    <row r="128" spans="1:38">
      <c r="A128" s="65">
        <v>127</v>
      </c>
      <c r="B128" s="148">
        <v>2006</v>
      </c>
      <c r="C128" s="66" t="s">
        <v>135</v>
      </c>
      <c r="D128" s="67" t="s">
        <v>105</v>
      </c>
      <c r="E128" s="67" t="s">
        <v>15</v>
      </c>
      <c r="F128" s="67" t="s">
        <v>35</v>
      </c>
      <c r="G128" s="67" t="s">
        <v>46</v>
      </c>
      <c r="H128" s="68">
        <v>38881</v>
      </c>
      <c r="I128" s="68"/>
      <c r="K128" s="70">
        <v>1.4</v>
      </c>
      <c r="L128" s="48">
        <v>38</v>
      </c>
      <c r="M128" s="48"/>
      <c r="N128" s="71">
        <f t="shared" si="5"/>
        <v>27.142857142857146</v>
      </c>
      <c r="O128" s="48" t="s">
        <v>5</v>
      </c>
      <c r="P128" s="72">
        <v>53.075000000000003</v>
      </c>
      <c r="Q128" s="72">
        <v>23.815000000000001</v>
      </c>
      <c r="R128" s="76">
        <v>0.5</v>
      </c>
      <c r="S128" s="72">
        <v>442.38499999999999</v>
      </c>
      <c r="T128" s="73">
        <v>9.36</v>
      </c>
      <c r="U128" s="72">
        <f>N128*1000*X128/100</f>
        <v>836.00000000000011</v>
      </c>
      <c r="V128" s="72">
        <f>S128*U128/1000</f>
        <v>369.83386000000007</v>
      </c>
      <c r="W128" s="72">
        <f>P128*U128/1000</f>
        <v>44.370700000000014</v>
      </c>
      <c r="X128" s="72">
        <v>3.08</v>
      </c>
      <c r="Y128" s="72">
        <v>19</v>
      </c>
      <c r="Z128" s="73">
        <v>16</v>
      </c>
      <c r="AA128" s="73">
        <v>71</v>
      </c>
      <c r="AB128" s="73">
        <v>3</v>
      </c>
      <c r="AC128" s="72"/>
      <c r="AD128" s="72">
        <f>$N128*1000*$X128*0.01*$S128*0.001</f>
        <v>369.83386000000007</v>
      </c>
      <c r="AE128" s="72">
        <f>$N128*1000*$X128*0.01*$P128*0.001</f>
        <v>44.370700000000014</v>
      </c>
      <c r="AF128" s="72"/>
      <c r="AG128" s="72"/>
      <c r="AH128" s="74"/>
      <c r="AI128" s="72"/>
      <c r="AJ128" s="72"/>
      <c r="AK128" s="72"/>
      <c r="AL128" s="72"/>
    </row>
    <row r="129" spans="1:38">
      <c r="A129" s="65">
        <v>128</v>
      </c>
      <c r="B129" s="148">
        <v>2006</v>
      </c>
      <c r="C129" s="66" t="s">
        <v>135</v>
      </c>
      <c r="D129" s="67" t="s">
        <v>105</v>
      </c>
      <c r="E129" s="67" t="s">
        <v>23</v>
      </c>
      <c r="F129" s="67" t="s">
        <v>33</v>
      </c>
      <c r="G129" s="67" t="s">
        <v>34</v>
      </c>
      <c r="H129" s="68">
        <v>38901</v>
      </c>
      <c r="I129" s="68"/>
      <c r="J129" s="69">
        <v>4</v>
      </c>
      <c r="K129" s="70">
        <v>1.4</v>
      </c>
      <c r="L129" s="48">
        <v>1.3</v>
      </c>
      <c r="M129" s="48"/>
      <c r="N129" s="71">
        <f t="shared" si="5"/>
        <v>0.92857142857142871</v>
      </c>
      <c r="O129" s="48" t="s">
        <v>65</v>
      </c>
      <c r="P129" s="72"/>
      <c r="Q129" s="72"/>
      <c r="R129" s="72"/>
      <c r="S129" s="72"/>
      <c r="T129" s="72"/>
      <c r="U129" s="72"/>
      <c r="V129" s="72"/>
      <c r="W129" s="72"/>
      <c r="X129" s="72">
        <v>37</v>
      </c>
      <c r="Y129" s="72"/>
      <c r="Z129" s="72"/>
      <c r="AA129" s="72"/>
      <c r="AB129" s="72"/>
      <c r="AC129" s="72">
        <f>N129*AG129*X129*0.01</f>
        <v>1030.714285714286</v>
      </c>
      <c r="AD129" s="72">
        <f>AC129*0.4089</f>
        <v>421.45907142857152</v>
      </c>
      <c r="AE129" s="72">
        <f>AC129*0.0263</f>
        <v>27.107785714285722</v>
      </c>
      <c r="AF129" s="72"/>
      <c r="AG129" s="72">
        <v>3000</v>
      </c>
      <c r="AI129" s="72"/>
      <c r="AJ129" s="72"/>
      <c r="AK129" s="72"/>
      <c r="AL129" s="72"/>
    </row>
    <row r="130" spans="1:38">
      <c r="A130" s="65">
        <v>129</v>
      </c>
      <c r="B130" s="148">
        <v>2006</v>
      </c>
      <c r="C130" s="66" t="s">
        <v>135</v>
      </c>
      <c r="D130" s="67" t="s">
        <v>105</v>
      </c>
      <c r="E130" s="67" t="s">
        <v>15</v>
      </c>
      <c r="F130" s="67" t="s">
        <v>35</v>
      </c>
      <c r="G130" s="67" t="s">
        <v>46</v>
      </c>
      <c r="H130" s="68">
        <v>38904</v>
      </c>
      <c r="I130" s="68"/>
      <c r="K130" s="70">
        <v>1.4</v>
      </c>
      <c r="L130" s="48">
        <v>55</v>
      </c>
      <c r="M130" s="48"/>
      <c r="N130" s="71">
        <f t="shared" si="5"/>
        <v>39.285714285714285</v>
      </c>
      <c r="O130" s="48" t="s">
        <v>5</v>
      </c>
      <c r="P130" s="72">
        <v>53.075000000000003</v>
      </c>
      <c r="Q130" s="72">
        <v>23.815000000000001</v>
      </c>
      <c r="R130" s="76">
        <v>0.5</v>
      </c>
      <c r="S130" s="72">
        <v>442.38499999999999</v>
      </c>
      <c r="T130" s="73">
        <v>9.36</v>
      </c>
      <c r="U130" s="72">
        <f>N130*1000*X130/100</f>
        <v>1210</v>
      </c>
      <c r="V130" s="72">
        <f>S130*U130/1000</f>
        <v>535.28584999999998</v>
      </c>
      <c r="W130" s="72">
        <f>P130*U130/1000</f>
        <v>64.220749999999995</v>
      </c>
      <c r="X130" s="72">
        <v>3.08</v>
      </c>
      <c r="Y130" s="72">
        <v>28</v>
      </c>
      <c r="Z130" s="73">
        <v>24</v>
      </c>
      <c r="AA130" s="73">
        <v>102</v>
      </c>
      <c r="AB130" s="73">
        <v>4</v>
      </c>
      <c r="AC130" s="72"/>
      <c r="AD130" s="72">
        <f>$N130*1000*$X130*0.01*$S130*0.001</f>
        <v>535.28584999999998</v>
      </c>
      <c r="AE130" s="72">
        <f>$N130*1000*$X130*0.01*$P130*0.001</f>
        <v>64.220749999999995</v>
      </c>
      <c r="AF130" s="72"/>
      <c r="AG130" s="72"/>
      <c r="AH130" s="74"/>
      <c r="AI130" s="72"/>
      <c r="AJ130" s="72"/>
      <c r="AK130" s="72"/>
      <c r="AL130" s="72"/>
    </row>
    <row r="131" spans="1:38">
      <c r="A131" s="65">
        <v>130</v>
      </c>
      <c r="B131" s="148">
        <v>2006</v>
      </c>
      <c r="C131" s="66" t="s">
        <v>135</v>
      </c>
      <c r="D131" s="67" t="s">
        <v>105</v>
      </c>
      <c r="E131" s="67" t="s">
        <v>23</v>
      </c>
      <c r="F131" s="67" t="s">
        <v>33</v>
      </c>
      <c r="G131" s="67" t="s">
        <v>34</v>
      </c>
      <c r="H131" s="68">
        <v>38921</v>
      </c>
      <c r="I131" s="68">
        <v>38922</v>
      </c>
      <c r="J131" s="69">
        <v>5</v>
      </c>
      <c r="K131" s="70">
        <v>1.4</v>
      </c>
      <c r="L131" s="48">
        <v>0.8</v>
      </c>
      <c r="M131" s="48"/>
      <c r="N131" s="71">
        <f t="shared" si="5"/>
        <v>0.57142857142857151</v>
      </c>
      <c r="O131" s="48" t="s">
        <v>65</v>
      </c>
      <c r="P131" s="72"/>
      <c r="Q131" s="72"/>
      <c r="R131" s="72"/>
      <c r="S131" s="72"/>
      <c r="T131" s="72"/>
      <c r="U131" s="72"/>
      <c r="V131" s="72"/>
      <c r="W131" s="72"/>
      <c r="X131" s="72">
        <v>37</v>
      </c>
      <c r="Y131" s="72"/>
      <c r="Z131" s="72"/>
      <c r="AA131" s="72"/>
      <c r="AB131" s="72"/>
      <c r="AC131" s="72">
        <f>N131*AG131*X131*0.01</f>
        <v>634.28571428571433</v>
      </c>
      <c r="AD131" s="72">
        <f>AC131*0.4089</f>
        <v>259.35942857142857</v>
      </c>
      <c r="AE131" s="72">
        <f>AC131*0.0263</f>
        <v>16.681714285714289</v>
      </c>
      <c r="AF131" s="72"/>
      <c r="AG131" s="72">
        <v>3000</v>
      </c>
      <c r="AI131" s="72"/>
      <c r="AJ131" s="72"/>
      <c r="AK131" s="72"/>
      <c r="AL131" s="72"/>
    </row>
    <row r="132" spans="1:38">
      <c r="A132" s="65">
        <v>131</v>
      </c>
      <c r="B132" s="148">
        <v>2006</v>
      </c>
      <c r="C132" s="66" t="s">
        <v>135</v>
      </c>
      <c r="D132" s="67" t="s">
        <v>105</v>
      </c>
      <c r="E132" s="67" t="s">
        <v>15</v>
      </c>
      <c r="F132" s="67" t="s">
        <v>35</v>
      </c>
      <c r="G132" s="67" t="s">
        <v>46</v>
      </c>
      <c r="H132" s="68">
        <v>38931</v>
      </c>
      <c r="I132" s="68"/>
      <c r="K132" s="70">
        <v>1.4</v>
      </c>
      <c r="L132" s="48">
        <v>60</v>
      </c>
      <c r="M132" s="48"/>
      <c r="N132" s="71">
        <f t="shared" si="5"/>
        <v>42.857142857142861</v>
      </c>
      <c r="O132" s="48" t="s">
        <v>5</v>
      </c>
      <c r="P132" s="72">
        <v>53.075000000000003</v>
      </c>
      <c r="Q132" s="72">
        <v>23.815000000000001</v>
      </c>
      <c r="R132" s="76">
        <v>0.5</v>
      </c>
      <c r="S132" s="72">
        <v>442.38499999999999</v>
      </c>
      <c r="T132" s="73">
        <v>9.36</v>
      </c>
      <c r="U132" s="72">
        <f>N132*1000*X132/100</f>
        <v>1320.0000000000002</v>
      </c>
      <c r="V132" s="72">
        <f>S132*U132/1000</f>
        <v>583.94820000000004</v>
      </c>
      <c r="W132" s="72">
        <f>P132*U132/1000</f>
        <v>70.059000000000012</v>
      </c>
      <c r="X132" s="72">
        <v>3.08</v>
      </c>
      <c r="Y132" s="72">
        <v>30</v>
      </c>
      <c r="Z132" s="73">
        <v>26</v>
      </c>
      <c r="AA132" s="73">
        <v>111</v>
      </c>
      <c r="AB132" s="73">
        <v>4</v>
      </c>
      <c r="AC132" s="72"/>
      <c r="AD132" s="72">
        <f>$N132*1000*$X132*0.01*$S132*0.001</f>
        <v>583.94820000000004</v>
      </c>
      <c r="AE132" s="72">
        <f>$N132*1000*$X132*0.01*$P132*0.001</f>
        <v>70.059000000000012</v>
      </c>
      <c r="AF132" s="72"/>
      <c r="AG132" s="72"/>
      <c r="AH132" s="74"/>
      <c r="AI132" s="72"/>
      <c r="AJ132" s="72"/>
      <c r="AK132" s="72"/>
      <c r="AL132" s="72"/>
    </row>
    <row r="133" spans="1:38">
      <c r="A133" s="65">
        <v>132</v>
      </c>
      <c r="B133" s="148">
        <v>2006</v>
      </c>
      <c r="C133" s="66" t="s">
        <v>135</v>
      </c>
      <c r="D133" s="67" t="s">
        <v>105</v>
      </c>
      <c r="E133" s="67" t="s">
        <v>23</v>
      </c>
      <c r="F133" s="67" t="s">
        <v>33</v>
      </c>
      <c r="G133" s="67" t="s">
        <v>34</v>
      </c>
      <c r="H133" s="68">
        <v>38961</v>
      </c>
      <c r="I133" s="68"/>
      <c r="J133" s="69">
        <v>6</v>
      </c>
      <c r="K133" s="70">
        <v>1.4</v>
      </c>
      <c r="L133" s="48">
        <v>3.5</v>
      </c>
      <c r="M133" s="48"/>
      <c r="N133" s="71">
        <f t="shared" si="5"/>
        <v>2.5</v>
      </c>
      <c r="O133" s="48" t="s">
        <v>65</v>
      </c>
      <c r="P133" s="72"/>
      <c r="Q133" s="72"/>
      <c r="R133" s="72"/>
      <c r="S133" s="72"/>
      <c r="T133" s="72"/>
      <c r="U133" s="72"/>
      <c r="V133" s="72"/>
      <c r="W133" s="72"/>
      <c r="X133" s="72">
        <v>37</v>
      </c>
      <c r="Y133" s="72"/>
      <c r="Z133" s="72"/>
      <c r="AA133" s="72"/>
      <c r="AB133" s="72"/>
      <c r="AC133" s="72">
        <f>N133*AG133*X133*0.01</f>
        <v>2775</v>
      </c>
      <c r="AD133" s="72">
        <f>AC133*0.4089</f>
        <v>1134.6975</v>
      </c>
      <c r="AE133" s="72">
        <f>AC133*0.0263</f>
        <v>72.982500000000002</v>
      </c>
      <c r="AF133" s="72"/>
      <c r="AG133" s="72">
        <v>3000</v>
      </c>
      <c r="AI133" s="72"/>
      <c r="AJ133" s="72"/>
      <c r="AK133" s="72"/>
      <c r="AL133" s="72"/>
    </row>
    <row r="134" spans="1:38">
      <c r="A134" s="65">
        <v>133</v>
      </c>
      <c r="B134" s="148">
        <v>2006</v>
      </c>
      <c r="C134" s="66" t="s">
        <v>135</v>
      </c>
      <c r="D134" s="67" t="s">
        <v>105</v>
      </c>
      <c r="E134" s="67" t="s">
        <v>21</v>
      </c>
      <c r="F134" s="67" t="s">
        <v>36</v>
      </c>
      <c r="G134" s="67" t="s">
        <v>48</v>
      </c>
      <c r="H134" s="68">
        <v>38968</v>
      </c>
      <c r="I134" s="68"/>
      <c r="K134" s="70">
        <v>1.4</v>
      </c>
      <c r="L134" s="48">
        <v>30</v>
      </c>
      <c r="M134" s="48"/>
      <c r="N134" s="71">
        <f t="shared" si="5"/>
        <v>21.428571428571431</v>
      </c>
      <c r="O134" s="48" t="s">
        <v>3</v>
      </c>
      <c r="P134" s="72"/>
      <c r="Q134" s="72"/>
      <c r="R134" s="72"/>
      <c r="S134" s="72"/>
      <c r="T134" s="72"/>
      <c r="U134" s="72"/>
      <c r="V134" s="72"/>
      <c r="W134" s="72"/>
      <c r="X134" s="72"/>
      <c r="Y134" s="72"/>
      <c r="Z134" s="72"/>
      <c r="AA134" s="72"/>
      <c r="AB134" s="72"/>
      <c r="AC134" s="72"/>
      <c r="AD134" s="72"/>
      <c r="AE134" s="72"/>
      <c r="AF134" s="72"/>
      <c r="AG134" s="72"/>
      <c r="AH134" s="74"/>
      <c r="AI134" s="72"/>
      <c r="AJ134" s="72"/>
      <c r="AK134" s="72"/>
      <c r="AL134" s="72"/>
    </row>
    <row r="135" spans="1:38">
      <c r="A135" s="65">
        <v>134</v>
      </c>
      <c r="B135" s="148">
        <v>2006</v>
      </c>
      <c r="C135" s="66" t="s">
        <v>135</v>
      </c>
      <c r="D135" s="67" t="s">
        <v>105</v>
      </c>
      <c r="E135" s="67" t="s">
        <v>15</v>
      </c>
      <c r="F135" s="67" t="s">
        <v>35</v>
      </c>
      <c r="G135" s="67" t="s">
        <v>46</v>
      </c>
      <c r="H135" s="68">
        <v>39009</v>
      </c>
      <c r="I135" s="68"/>
      <c r="K135" s="70">
        <v>1.4</v>
      </c>
      <c r="L135" s="48">
        <v>40</v>
      </c>
      <c r="M135" s="48"/>
      <c r="N135" s="71">
        <f t="shared" si="5"/>
        <v>28.571428571428573</v>
      </c>
      <c r="O135" s="48" t="s">
        <v>5</v>
      </c>
      <c r="P135" s="72">
        <v>53.075000000000003</v>
      </c>
      <c r="Q135" s="72">
        <v>23.815000000000001</v>
      </c>
      <c r="R135" s="76">
        <v>0.5</v>
      </c>
      <c r="S135" s="72">
        <v>442.38499999999999</v>
      </c>
      <c r="T135" s="73">
        <v>9.36</v>
      </c>
      <c r="U135" s="72">
        <f>N135*1000*X135/100</f>
        <v>880</v>
      </c>
      <c r="V135" s="72">
        <f>S135*U135/1000</f>
        <v>389.29879999999997</v>
      </c>
      <c r="W135" s="72">
        <f>P135*U135/1000</f>
        <v>46.706000000000003</v>
      </c>
      <c r="X135" s="72">
        <v>3.08</v>
      </c>
      <c r="Y135" s="72">
        <v>20</v>
      </c>
      <c r="Z135" s="73">
        <v>17</v>
      </c>
      <c r="AA135" s="73">
        <v>74</v>
      </c>
      <c r="AB135" s="73">
        <v>3</v>
      </c>
      <c r="AC135" s="72"/>
      <c r="AD135" s="72">
        <f>$N135*1000*$X135*0.01*$S135*0.001</f>
        <v>389.29879999999997</v>
      </c>
      <c r="AE135" s="72">
        <f>$N135*1000*$X135*0.01*$P135*0.001</f>
        <v>46.706000000000003</v>
      </c>
      <c r="AF135" s="72"/>
      <c r="AG135" s="72"/>
      <c r="AH135" s="74"/>
      <c r="AI135" s="72"/>
      <c r="AJ135" s="72"/>
      <c r="AK135" s="72"/>
      <c r="AL135" s="72"/>
    </row>
    <row r="136" spans="1:38">
      <c r="A136" s="65">
        <v>135</v>
      </c>
      <c r="B136" s="148">
        <v>2006</v>
      </c>
      <c r="C136" s="66" t="s">
        <v>135</v>
      </c>
      <c r="D136" s="67" t="s">
        <v>105</v>
      </c>
      <c r="E136" s="67" t="s">
        <v>15</v>
      </c>
      <c r="F136" s="67" t="s">
        <v>35</v>
      </c>
      <c r="G136" s="67" t="s">
        <v>46</v>
      </c>
      <c r="H136" s="68">
        <v>39062</v>
      </c>
      <c r="I136" s="68"/>
      <c r="K136" s="70">
        <v>1.4</v>
      </c>
      <c r="L136" s="48">
        <v>60</v>
      </c>
      <c r="M136" s="48"/>
      <c r="N136" s="71">
        <f t="shared" si="5"/>
        <v>42.857142857142861</v>
      </c>
      <c r="O136" s="48" t="s">
        <v>5</v>
      </c>
      <c r="P136" s="72">
        <v>53.075000000000003</v>
      </c>
      <c r="Q136" s="72">
        <v>23.815000000000001</v>
      </c>
      <c r="R136" s="76">
        <v>0.5</v>
      </c>
      <c r="S136" s="72">
        <v>442.38499999999999</v>
      </c>
      <c r="T136" s="73">
        <v>9.36</v>
      </c>
      <c r="U136" s="72">
        <f>N136*1000*X136/100</f>
        <v>1320.0000000000002</v>
      </c>
      <c r="V136" s="72">
        <f>S136*U136/1000</f>
        <v>583.94820000000004</v>
      </c>
      <c r="W136" s="72">
        <f>P136*U136/1000</f>
        <v>70.059000000000012</v>
      </c>
      <c r="X136" s="72">
        <v>3.08</v>
      </c>
      <c r="Y136" s="72">
        <v>30</v>
      </c>
      <c r="Z136" s="73">
        <v>26</v>
      </c>
      <c r="AA136" s="73">
        <v>111</v>
      </c>
      <c r="AB136" s="73">
        <v>4</v>
      </c>
      <c r="AC136" s="72"/>
      <c r="AD136" s="72">
        <f>$N136*1000*$X136*0.01*$S136*0.001</f>
        <v>583.94820000000004</v>
      </c>
      <c r="AE136" s="72">
        <f>$N136*1000*$X136*0.01*$P136*0.001</f>
        <v>70.059000000000012</v>
      </c>
      <c r="AF136" s="72"/>
      <c r="AG136" s="72"/>
      <c r="AH136" s="74"/>
      <c r="AI136" s="72"/>
      <c r="AJ136" s="72"/>
      <c r="AK136" s="72"/>
      <c r="AL136" s="72"/>
    </row>
    <row r="137" spans="1:38">
      <c r="A137" s="65">
        <v>136</v>
      </c>
      <c r="B137" s="148">
        <v>2006</v>
      </c>
      <c r="C137" s="66" t="s">
        <v>135</v>
      </c>
      <c r="D137" s="67" t="s">
        <v>105</v>
      </c>
      <c r="E137" s="67" t="s">
        <v>23</v>
      </c>
      <c r="F137" s="67" t="s">
        <v>27</v>
      </c>
      <c r="G137" s="67" t="s">
        <v>45</v>
      </c>
      <c r="H137" s="68">
        <v>38854</v>
      </c>
      <c r="I137" s="68">
        <v>38861</v>
      </c>
      <c r="J137" s="69">
        <v>2</v>
      </c>
      <c r="K137" s="70">
        <v>1.4</v>
      </c>
      <c r="L137" s="71">
        <v>90</v>
      </c>
      <c r="M137" s="71"/>
      <c r="N137" s="71">
        <f>L137/K137</f>
        <v>64.285714285714292</v>
      </c>
      <c r="O137" s="48" t="s">
        <v>64</v>
      </c>
      <c r="P137" s="72"/>
      <c r="Q137" s="72"/>
      <c r="R137" s="72"/>
      <c r="S137" s="72"/>
      <c r="T137" s="72"/>
      <c r="U137" s="72"/>
      <c r="V137" s="72"/>
      <c r="W137" s="72"/>
      <c r="X137" s="72"/>
      <c r="Y137" s="72"/>
      <c r="Z137" s="72"/>
      <c r="AA137" s="72"/>
      <c r="AB137" s="72"/>
      <c r="AC137" s="72">
        <f>N137*AG137*AF137</f>
        <v>675.00000000000011</v>
      </c>
      <c r="AD137" s="72">
        <f>$AC137*0.4089</f>
        <v>276.00750000000005</v>
      </c>
      <c r="AE137" s="72">
        <f>$AC137*0.0263</f>
        <v>17.752500000000005</v>
      </c>
      <c r="AF137" s="72">
        <v>7</v>
      </c>
      <c r="AG137" s="72">
        <v>1.5</v>
      </c>
      <c r="AI137" s="72"/>
      <c r="AJ137" s="72"/>
      <c r="AK137" s="72"/>
      <c r="AL137" s="72"/>
    </row>
    <row r="138" spans="1:38">
      <c r="A138" s="65">
        <v>137</v>
      </c>
      <c r="B138" s="148">
        <v>2006</v>
      </c>
      <c r="C138" s="66" t="s">
        <v>135</v>
      </c>
      <c r="D138" s="67" t="s">
        <v>105</v>
      </c>
      <c r="E138" s="67" t="s">
        <v>23</v>
      </c>
      <c r="F138" s="67" t="s">
        <v>33</v>
      </c>
      <c r="G138" s="67" t="s">
        <v>34</v>
      </c>
      <c r="H138" s="68">
        <v>39000</v>
      </c>
      <c r="I138" s="68"/>
      <c r="J138" s="69">
        <v>7</v>
      </c>
      <c r="K138" s="70">
        <v>1.4</v>
      </c>
      <c r="L138" s="48">
        <v>12</v>
      </c>
      <c r="M138" s="48"/>
      <c r="N138" s="71">
        <f>IF(L138/K138&gt;0, L138/K138,"")</f>
        <v>8.5714285714285712</v>
      </c>
      <c r="O138" s="83" t="s">
        <v>68</v>
      </c>
      <c r="P138" s="72"/>
      <c r="Q138" s="72"/>
      <c r="R138" s="72"/>
      <c r="S138" s="72"/>
      <c r="T138" s="72"/>
      <c r="U138" s="72"/>
      <c r="V138" s="72"/>
      <c r="W138" s="72"/>
      <c r="X138" s="72">
        <v>37</v>
      </c>
      <c r="Y138" s="72"/>
      <c r="Z138" s="72"/>
      <c r="AA138" s="72"/>
      <c r="AB138" s="72"/>
      <c r="AC138" s="72">
        <f>N138*AG138*X138*0.01</f>
        <v>1950.4285714285716</v>
      </c>
      <c r="AD138" s="72">
        <f>AC138*0.4089</f>
        <v>797.53024285714287</v>
      </c>
      <c r="AE138" s="72">
        <f>AC138*0.0263</f>
        <v>51.29627142857143</v>
      </c>
      <c r="AF138" s="72"/>
      <c r="AG138" s="72">
        <v>615</v>
      </c>
      <c r="AI138" s="72"/>
      <c r="AJ138" s="72"/>
      <c r="AK138" s="72"/>
      <c r="AL138" s="72"/>
    </row>
    <row r="139" spans="1:38">
      <c r="A139" s="65">
        <v>138</v>
      </c>
      <c r="B139" s="148">
        <v>2006</v>
      </c>
      <c r="C139" s="79" t="s">
        <v>136</v>
      </c>
      <c r="D139" s="67" t="s">
        <v>105</v>
      </c>
      <c r="E139" s="67" t="s">
        <v>15</v>
      </c>
      <c r="F139" s="67" t="s">
        <v>35</v>
      </c>
      <c r="G139" s="67" t="s">
        <v>46</v>
      </c>
      <c r="H139" s="68">
        <v>38800</v>
      </c>
      <c r="I139" s="68"/>
      <c r="K139" s="70">
        <v>3.34</v>
      </c>
      <c r="L139" s="48">
        <v>84.52</v>
      </c>
      <c r="M139" s="48"/>
      <c r="N139" s="71">
        <f>IF(L139/K139&gt;0, L139/K139,"")</f>
        <v>25.305389221556887</v>
      </c>
      <c r="O139" s="48" t="s">
        <v>5</v>
      </c>
      <c r="P139" s="72">
        <v>53.075000000000003</v>
      </c>
      <c r="Q139" s="72">
        <v>23.815000000000001</v>
      </c>
      <c r="R139" s="76">
        <v>0.5</v>
      </c>
      <c r="S139" s="72">
        <v>442.38499999999999</v>
      </c>
      <c r="T139" s="73">
        <v>9.36</v>
      </c>
      <c r="U139" s="72">
        <f>N139*1000*X139/100</f>
        <v>779.40598802395209</v>
      </c>
      <c r="V139" s="72">
        <f>S139*U139/1000</f>
        <v>344.79751801197602</v>
      </c>
      <c r="W139" s="72">
        <f>P139*U139/1000</f>
        <v>41.366972814371259</v>
      </c>
      <c r="X139" s="72">
        <v>3.08</v>
      </c>
      <c r="Y139" s="72">
        <v>17.713772455089821</v>
      </c>
      <c r="Z139" s="73">
        <v>15.183233532934132</v>
      </c>
      <c r="AA139" s="73">
        <v>65.794011976047912</v>
      </c>
      <c r="AB139" s="73">
        <v>2.5305389221556887</v>
      </c>
      <c r="AC139" s="72"/>
      <c r="AD139" s="72">
        <f>$N139*1000*$X139*0.01*$S139*0.001</f>
        <v>344.79751801197602</v>
      </c>
      <c r="AE139" s="72">
        <f>$N139*1000*$X139*0.01*$P139*0.001</f>
        <v>41.366972814371259</v>
      </c>
      <c r="AF139" s="72"/>
      <c r="AG139" s="72"/>
      <c r="AH139" s="74"/>
      <c r="AI139" s="72"/>
      <c r="AJ139" s="72"/>
      <c r="AK139" s="72"/>
      <c r="AL139" s="72"/>
    </row>
    <row r="140" spans="1:38">
      <c r="A140" s="65">
        <v>139</v>
      </c>
      <c r="B140" s="148">
        <v>2006</v>
      </c>
      <c r="C140" s="79" t="s">
        <v>136</v>
      </c>
      <c r="D140" s="67" t="s">
        <v>105</v>
      </c>
      <c r="E140" s="67" t="s">
        <v>24</v>
      </c>
      <c r="F140" s="67" t="s">
        <v>28</v>
      </c>
      <c r="G140" s="77" t="s">
        <v>124</v>
      </c>
      <c r="H140" s="68">
        <v>38803</v>
      </c>
      <c r="I140" s="68"/>
      <c r="K140" s="70">
        <v>3.34</v>
      </c>
      <c r="L140" s="72"/>
      <c r="M140" s="72"/>
      <c r="N140" s="72"/>
      <c r="P140" s="72"/>
      <c r="Q140" s="72"/>
      <c r="R140" s="72"/>
      <c r="S140" s="72"/>
      <c r="T140" s="72"/>
      <c r="U140" s="72"/>
      <c r="V140" s="72"/>
      <c r="W140" s="72"/>
      <c r="X140" s="72"/>
      <c r="Y140" s="72"/>
      <c r="Z140" s="72"/>
      <c r="AA140" s="72"/>
      <c r="AB140" s="72"/>
      <c r="AC140" s="72"/>
      <c r="AD140" s="72"/>
      <c r="AE140" s="72"/>
      <c r="AF140" s="72"/>
      <c r="AG140" s="72"/>
      <c r="AH140" s="74"/>
      <c r="AI140" s="72"/>
      <c r="AJ140" s="72"/>
      <c r="AK140" s="72"/>
      <c r="AL140" s="72"/>
    </row>
    <row r="141" spans="1:38">
      <c r="A141" s="65">
        <v>140</v>
      </c>
      <c r="B141" s="148">
        <v>2006</v>
      </c>
      <c r="C141" s="79" t="s">
        <v>136</v>
      </c>
      <c r="D141" s="67" t="s">
        <v>105</v>
      </c>
      <c r="E141" s="67" t="s">
        <v>22</v>
      </c>
      <c r="F141" s="67" t="s">
        <v>40</v>
      </c>
      <c r="G141" s="67"/>
      <c r="H141" s="68">
        <v>38803</v>
      </c>
      <c r="I141" s="68"/>
      <c r="K141" s="70">
        <v>3.34</v>
      </c>
      <c r="L141" s="72"/>
      <c r="M141" s="72"/>
      <c r="N141" s="72"/>
      <c r="P141" s="72"/>
      <c r="Q141" s="72"/>
      <c r="R141" s="72"/>
      <c r="S141" s="72"/>
      <c r="T141" s="72"/>
      <c r="U141" s="72"/>
      <c r="V141" s="72"/>
      <c r="W141" s="72"/>
      <c r="X141" s="72"/>
      <c r="Y141" s="72"/>
      <c r="Z141" s="72"/>
      <c r="AA141" s="72"/>
      <c r="AB141" s="72"/>
      <c r="AC141" s="72"/>
      <c r="AD141" s="72"/>
      <c r="AE141" s="72"/>
      <c r="AF141" s="72"/>
      <c r="AG141" s="72"/>
      <c r="AH141" s="74"/>
      <c r="AI141" s="72"/>
      <c r="AJ141" s="72"/>
      <c r="AK141" s="72"/>
      <c r="AL141" s="72"/>
    </row>
    <row r="142" spans="1:38">
      <c r="A142" s="65">
        <v>141</v>
      </c>
      <c r="B142" s="148">
        <v>2006</v>
      </c>
      <c r="C142" s="79" t="s">
        <v>136</v>
      </c>
      <c r="D142" s="67" t="s">
        <v>105</v>
      </c>
      <c r="E142" s="67" t="s">
        <v>21</v>
      </c>
      <c r="F142" s="67" t="s">
        <v>36</v>
      </c>
      <c r="G142" s="67" t="s">
        <v>48</v>
      </c>
      <c r="H142" s="68">
        <v>38803</v>
      </c>
      <c r="I142" s="68"/>
      <c r="K142" s="70">
        <v>3.34</v>
      </c>
      <c r="L142" s="48">
        <v>66.8</v>
      </c>
      <c r="M142" s="48"/>
      <c r="N142" s="71">
        <f t="shared" ref="N142:N156" si="6">IF(L142/K142&gt;0, L142/K142,"")</f>
        <v>20</v>
      </c>
      <c r="O142" s="48" t="s">
        <v>3</v>
      </c>
      <c r="P142" s="72"/>
      <c r="Q142" s="72"/>
      <c r="R142" s="72"/>
      <c r="S142" s="72"/>
      <c r="T142" s="72"/>
      <c r="U142" s="72"/>
      <c r="V142" s="72"/>
      <c r="W142" s="72"/>
      <c r="X142" s="72"/>
      <c r="Y142" s="72"/>
      <c r="Z142" s="72"/>
      <c r="AA142" s="72"/>
      <c r="AB142" s="72"/>
      <c r="AC142" s="72"/>
      <c r="AD142" s="72"/>
      <c r="AE142" s="72"/>
      <c r="AF142" s="72"/>
      <c r="AG142" s="72"/>
      <c r="AH142" s="74"/>
      <c r="AI142" s="72"/>
      <c r="AJ142" s="72"/>
      <c r="AK142" s="72"/>
      <c r="AL142" s="72"/>
    </row>
    <row r="143" spans="1:38">
      <c r="A143" s="65">
        <v>142</v>
      </c>
      <c r="B143" s="148">
        <v>2006</v>
      </c>
      <c r="C143" s="79" t="s">
        <v>136</v>
      </c>
      <c r="D143" s="67" t="s">
        <v>105</v>
      </c>
      <c r="E143" s="67" t="s">
        <v>23</v>
      </c>
      <c r="F143" s="67" t="s">
        <v>33</v>
      </c>
      <c r="G143" s="67" t="s">
        <v>34</v>
      </c>
      <c r="H143" s="68">
        <v>38840</v>
      </c>
      <c r="I143" s="68">
        <v>38841</v>
      </c>
      <c r="J143" s="69">
        <v>1</v>
      </c>
      <c r="K143" s="70">
        <v>3.34</v>
      </c>
      <c r="L143" s="48">
        <v>1.75</v>
      </c>
      <c r="M143" s="48"/>
      <c r="N143" s="71">
        <f t="shared" si="6"/>
        <v>0.5239520958083832</v>
      </c>
      <c r="O143" s="48" t="s">
        <v>65</v>
      </c>
      <c r="P143" s="72"/>
      <c r="Q143" s="72"/>
      <c r="R143" s="72"/>
      <c r="S143" s="72"/>
      <c r="T143" s="72"/>
      <c r="U143" s="72"/>
      <c r="V143" s="72"/>
      <c r="W143" s="72"/>
      <c r="X143" s="72">
        <v>37</v>
      </c>
      <c r="Y143" s="72"/>
      <c r="Z143" s="72"/>
      <c r="AA143" s="72"/>
      <c r="AB143" s="72"/>
      <c r="AC143" s="72">
        <f>N143*AG143*X143*0.01</f>
        <v>581.5868263473053</v>
      </c>
      <c r="AD143" s="72">
        <f>$AC143*0.4089</f>
        <v>237.81085329341312</v>
      </c>
      <c r="AE143" s="72">
        <f>$AC143*0.0263</f>
        <v>15.295733532934129</v>
      </c>
      <c r="AF143" s="72"/>
      <c r="AG143" s="72">
        <v>3000</v>
      </c>
      <c r="AI143" s="72"/>
      <c r="AJ143" s="72"/>
      <c r="AK143" s="72"/>
      <c r="AL143" s="72"/>
    </row>
    <row r="144" spans="1:38">
      <c r="A144" s="65">
        <v>143</v>
      </c>
      <c r="B144" s="148">
        <v>2006</v>
      </c>
      <c r="C144" s="79" t="s">
        <v>136</v>
      </c>
      <c r="D144" s="67" t="s">
        <v>105</v>
      </c>
      <c r="E144" s="67" t="s">
        <v>15</v>
      </c>
      <c r="F144" s="67" t="s">
        <v>35</v>
      </c>
      <c r="G144" s="67" t="s">
        <v>46</v>
      </c>
      <c r="H144" s="68">
        <v>38842</v>
      </c>
      <c r="I144" s="68"/>
      <c r="K144" s="70">
        <v>3.34</v>
      </c>
      <c r="L144" s="48">
        <v>75</v>
      </c>
      <c r="M144" s="48"/>
      <c r="N144" s="71">
        <f t="shared" si="6"/>
        <v>22.455089820359284</v>
      </c>
      <c r="O144" s="48" t="s">
        <v>5</v>
      </c>
      <c r="P144" s="72">
        <v>53.075000000000003</v>
      </c>
      <c r="Q144" s="72">
        <v>23.815000000000001</v>
      </c>
      <c r="R144" s="76">
        <v>0.5</v>
      </c>
      <c r="S144" s="72">
        <v>442.38499999999999</v>
      </c>
      <c r="T144" s="73">
        <v>9.36</v>
      </c>
      <c r="U144" s="72">
        <f>N144*1000*X144/100</f>
        <v>691.61676646706587</v>
      </c>
      <c r="V144" s="72">
        <f>S144*U144/1000</f>
        <v>305.96088323353297</v>
      </c>
      <c r="W144" s="72">
        <f>P144*U144/1000</f>
        <v>36.707559880239522</v>
      </c>
      <c r="X144" s="72">
        <v>3.08</v>
      </c>
      <c r="Y144" s="72">
        <v>15.718562874251498</v>
      </c>
      <c r="Z144" s="73">
        <v>13.473053892215569</v>
      </c>
      <c r="AA144" s="73">
        <v>58.383233532934135</v>
      </c>
      <c r="AB144" s="73">
        <v>2.2455089820359282</v>
      </c>
      <c r="AC144" s="72"/>
      <c r="AD144" s="72">
        <f>$N144*1000*$X144*0.01*$S144*0.001</f>
        <v>305.96088323353297</v>
      </c>
      <c r="AE144" s="72">
        <f>$N144*1000*$X144*0.01*$P144*0.001</f>
        <v>36.707559880239529</v>
      </c>
      <c r="AF144" s="72"/>
      <c r="AG144" s="72"/>
      <c r="AH144" s="74"/>
      <c r="AI144" s="72"/>
      <c r="AJ144" s="72"/>
      <c r="AK144" s="72"/>
      <c r="AL144" s="72"/>
    </row>
    <row r="145" spans="1:38">
      <c r="A145" s="65">
        <v>144</v>
      </c>
      <c r="B145" s="148">
        <v>2006</v>
      </c>
      <c r="C145" s="79" t="s">
        <v>136</v>
      </c>
      <c r="D145" s="67" t="s">
        <v>105</v>
      </c>
      <c r="E145" s="67" t="s">
        <v>23</v>
      </c>
      <c r="F145" s="67" t="s">
        <v>33</v>
      </c>
      <c r="G145" s="67" t="s">
        <v>34</v>
      </c>
      <c r="H145" s="68">
        <v>38875</v>
      </c>
      <c r="I145" s="68">
        <v>38877</v>
      </c>
      <c r="J145" s="69">
        <v>2</v>
      </c>
      <c r="K145" s="70">
        <v>3.34</v>
      </c>
      <c r="L145" s="48">
        <v>2.75</v>
      </c>
      <c r="M145" s="48"/>
      <c r="N145" s="71">
        <f t="shared" si="6"/>
        <v>0.82335329341317365</v>
      </c>
      <c r="O145" s="48" t="s">
        <v>65</v>
      </c>
      <c r="P145" s="72"/>
      <c r="Q145" s="72"/>
      <c r="R145" s="72"/>
      <c r="S145" s="72"/>
      <c r="T145" s="72"/>
      <c r="U145" s="72"/>
      <c r="V145" s="72"/>
      <c r="W145" s="72"/>
      <c r="X145" s="72">
        <v>37</v>
      </c>
      <c r="Y145" s="72"/>
      <c r="Z145" s="72"/>
      <c r="AA145" s="72"/>
      <c r="AB145" s="72"/>
      <c r="AC145" s="72">
        <f>N145*AG145*X145*0.01</f>
        <v>913.92215568862287</v>
      </c>
      <c r="AD145" s="72">
        <f>$AC145*0.4089</f>
        <v>373.70276946107788</v>
      </c>
      <c r="AE145" s="72">
        <f>$AC145*0.0263</f>
        <v>24.036152694610781</v>
      </c>
      <c r="AF145" s="72"/>
      <c r="AG145" s="72">
        <v>3000</v>
      </c>
      <c r="AI145" s="72"/>
      <c r="AJ145" s="72"/>
      <c r="AK145" s="72"/>
      <c r="AL145" s="72"/>
    </row>
    <row r="146" spans="1:38">
      <c r="A146" s="65">
        <v>145</v>
      </c>
      <c r="B146" s="148">
        <v>2006</v>
      </c>
      <c r="C146" s="79" t="s">
        <v>136</v>
      </c>
      <c r="D146" s="67" t="s">
        <v>105</v>
      </c>
      <c r="E146" s="67" t="s">
        <v>15</v>
      </c>
      <c r="F146" s="67" t="s">
        <v>35</v>
      </c>
      <c r="G146" s="67" t="s">
        <v>46</v>
      </c>
      <c r="H146" s="68">
        <v>38881</v>
      </c>
      <c r="I146" s="68"/>
      <c r="K146" s="70">
        <v>3.34</v>
      </c>
      <c r="L146" s="48">
        <v>71</v>
      </c>
      <c r="M146" s="48"/>
      <c r="N146" s="71">
        <f t="shared" si="6"/>
        <v>21.257485029940121</v>
      </c>
      <c r="O146" s="48" t="s">
        <v>5</v>
      </c>
      <c r="P146" s="72">
        <v>53.075000000000003</v>
      </c>
      <c r="Q146" s="72">
        <v>23.815000000000001</v>
      </c>
      <c r="R146" s="76">
        <v>0.5</v>
      </c>
      <c r="S146" s="72">
        <v>442.38499999999999</v>
      </c>
      <c r="T146" s="73">
        <v>9.36</v>
      </c>
      <c r="U146" s="72">
        <f>N146*1000*X146/100</f>
        <v>654.7305389221558</v>
      </c>
      <c r="V146" s="72">
        <f>S146*U146/1000</f>
        <v>289.64296946107788</v>
      </c>
      <c r="W146" s="72">
        <f>P146*U146/1000</f>
        <v>34.749823353293422</v>
      </c>
      <c r="X146" s="72">
        <v>3.08</v>
      </c>
      <c r="Y146" s="72">
        <v>14.874999999999998</v>
      </c>
      <c r="Z146" s="73">
        <v>12.749999999999998</v>
      </c>
      <c r="AA146" s="73">
        <v>55.25</v>
      </c>
      <c r="AB146" s="73">
        <v>2.125</v>
      </c>
      <c r="AC146" s="72"/>
      <c r="AD146" s="72">
        <f>$N146*1000*$X146*0.01*$S146*0.001</f>
        <v>289.64296946107788</v>
      </c>
      <c r="AE146" s="72">
        <f>$N146*1000*$X146*0.01*$P146*0.001</f>
        <v>34.749823353293422</v>
      </c>
      <c r="AF146" s="72"/>
      <c r="AG146" s="72"/>
      <c r="AH146" s="74"/>
      <c r="AI146" s="72"/>
      <c r="AJ146" s="72"/>
      <c r="AK146" s="72"/>
      <c r="AL146" s="72"/>
    </row>
    <row r="147" spans="1:38">
      <c r="A147" s="65">
        <v>146</v>
      </c>
      <c r="B147" s="148">
        <v>2006</v>
      </c>
      <c r="C147" s="79" t="s">
        <v>136</v>
      </c>
      <c r="D147" s="67" t="s">
        <v>105</v>
      </c>
      <c r="E147" s="67" t="s">
        <v>23</v>
      </c>
      <c r="F147" s="67" t="s">
        <v>33</v>
      </c>
      <c r="G147" s="67" t="s">
        <v>34</v>
      </c>
      <c r="H147" s="68">
        <v>38901</v>
      </c>
      <c r="I147" s="68"/>
      <c r="J147" s="69">
        <v>3</v>
      </c>
      <c r="K147" s="70">
        <v>3.34</v>
      </c>
      <c r="L147" s="48">
        <v>2</v>
      </c>
      <c r="M147" s="48"/>
      <c r="N147" s="71">
        <f t="shared" si="6"/>
        <v>0.5988023952095809</v>
      </c>
      <c r="O147" s="48" t="s">
        <v>65</v>
      </c>
      <c r="P147" s="72"/>
      <c r="Q147" s="72"/>
      <c r="R147" s="72"/>
      <c r="S147" s="72"/>
      <c r="T147" s="72"/>
      <c r="U147" s="72"/>
      <c r="V147" s="72"/>
      <c r="W147" s="72"/>
      <c r="X147" s="72">
        <v>37</v>
      </c>
      <c r="Y147" s="72"/>
      <c r="Z147" s="72"/>
      <c r="AA147" s="72"/>
      <c r="AB147" s="72"/>
      <c r="AC147" s="72">
        <f>N147*AG147*X147*0.01</f>
        <v>664.67065868263478</v>
      </c>
      <c r="AD147" s="72">
        <f>$AC147*0.4089</f>
        <v>271.78383233532935</v>
      </c>
      <c r="AE147" s="72">
        <f>$AC147*0.0263</f>
        <v>17.480838323353296</v>
      </c>
      <c r="AF147" s="72"/>
      <c r="AG147" s="72">
        <v>3000</v>
      </c>
      <c r="AI147" s="72"/>
      <c r="AJ147" s="72"/>
      <c r="AK147" s="72"/>
      <c r="AL147" s="72"/>
    </row>
    <row r="148" spans="1:38">
      <c r="A148" s="65">
        <v>147</v>
      </c>
      <c r="B148" s="148">
        <v>2006</v>
      </c>
      <c r="C148" s="79" t="s">
        <v>136</v>
      </c>
      <c r="D148" s="67" t="s">
        <v>105</v>
      </c>
      <c r="E148" s="67" t="s">
        <v>15</v>
      </c>
      <c r="F148" s="67" t="s">
        <v>35</v>
      </c>
      <c r="G148" s="67" t="s">
        <v>46</v>
      </c>
      <c r="H148" s="68">
        <v>38904</v>
      </c>
      <c r="I148" s="68"/>
      <c r="K148" s="70">
        <v>3.34</v>
      </c>
      <c r="L148" s="48">
        <v>80</v>
      </c>
      <c r="M148" s="48"/>
      <c r="N148" s="71">
        <f t="shared" si="6"/>
        <v>23.952095808383234</v>
      </c>
      <c r="O148" s="48" t="s">
        <v>5</v>
      </c>
      <c r="P148" s="72">
        <v>53.075000000000003</v>
      </c>
      <c r="Q148" s="72">
        <v>23.815000000000001</v>
      </c>
      <c r="R148" s="76">
        <v>0.5</v>
      </c>
      <c r="S148" s="72">
        <v>442.38499999999999</v>
      </c>
      <c r="T148" s="73">
        <v>9.36</v>
      </c>
      <c r="U148" s="72">
        <f>N148*1000*X148/100</f>
        <v>737.72455089820357</v>
      </c>
      <c r="V148" s="72">
        <f>S148*U148/1000</f>
        <v>326.35827544910177</v>
      </c>
      <c r="W148" s="72">
        <f>P148*U148/1000</f>
        <v>39.154730538922159</v>
      </c>
      <c r="X148" s="72">
        <v>3.08</v>
      </c>
      <c r="Y148" s="72">
        <v>16.766467065868266</v>
      </c>
      <c r="Z148" s="73">
        <v>14.371257485029941</v>
      </c>
      <c r="AA148" s="73">
        <v>62.275449101796411</v>
      </c>
      <c r="AB148" s="73">
        <v>2.3952095808383236</v>
      </c>
      <c r="AC148" s="72"/>
      <c r="AD148" s="72">
        <f>$N148*1000*$X148*0.01*$S148*0.001</f>
        <v>326.35827544910177</v>
      </c>
      <c r="AE148" s="72">
        <f>$N148*1000*$X148*0.01*$P148*0.001</f>
        <v>39.154730538922159</v>
      </c>
      <c r="AF148" s="72"/>
      <c r="AG148" s="72"/>
      <c r="AH148" s="74"/>
      <c r="AI148" s="72"/>
      <c r="AJ148" s="72"/>
      <c r="AK148" s="72"/>
      <c r="AL148" s="72"/>
    </row>
    <row r="149" spans="1:38">
      <c r="A149" s="65">
        <v>148</v>
      </c>
      <c r="B149" s="148">
        <v>2006</v>
      </c>
      <c r="C149" s="79" t="s">
        <v>136</v>
      </c>
      <c r="D149" s="67" t="s">
        <v>105</v>
      </c>
      <c r="E149" s="67" t="s">
        <v>23</v>
      </c>
      <c r="F149" s="67" t="s">
        <v>33</v>
      </c>
      <c r="G149" s="67" t="s">
        <v>34</v>
      </c>
      <c r="H149" s="68">
        <v>38921</v>
      </c>
      <c r="I149" s="68"/>
      <c r="J149" s="69">
        <v>4</v>
      </c>
      <c r="K149" s="70">
        <v>3.34</v>
      </c>
      <c r="L149" s="48">
        <v>1</v>
      </c>
      <c r="M149" s="48"/>
      <c r="N149" s="71">
        <f t="shared" si="6"/>
        <v>0.29940119760479045</v>
      </c>
      <c r="O149" s="48" t="s">
        <v>65</v>
      </c>
      <c r="P149" s="72"/>
      <c r="Q149" s="72"/>
      <c r="R149" s="72"/>
      <c r="S149" s="72"/>
      <c r="T149" s="72"/>
      <c r="U149" s="72"/>
      <c r="V149" s="72"/>
      <c r="W149" s="72"/>
      <c r="X149" s="72">
        <v>37</v>
      </c>
      <c r="Y149" s="72"/>
      <c r="Z149" s="72"/>
      <c r="AA149" s="72"/>
      <c r="AB149" s="72"/>
      <c r="AC149" s="72">
        <f>N149*AG149*X149*0.01</f>
        <v>332.33532934131739</v>
      </c>
      <c r="AD149" s="72">
        <f>$AC149*0.4089</f>
        <v>135.89191616766468</v>
      </c>
      <c r="AE149" s="72">
        <f>$AC149*0.0263</f>
        <v>8.7404191616766482</v>
      </c>
      <c r="AF149" s="72"/>
      <c r="AG149" s="72">
        <v>3000</v>
      </c>
      <c r="AI149" s="72"/>
      <c r="AJ149" s="72"/>
      <c r="AK149" s="72"/>
      <c r="AL149" s="72"/>
    </row>
    <row r="150" spans="1:38">
      <c r="A150" s="65">
        <v>149</v>
      </c>
      <c r="B150" s="148">
        <v>2006</v>
      </c>
      <c r="C150" s="79" t="s">
        <v>136</v>
      </c>
      <c r="D150" s="67" t="s">
        <v>105</v>
      </c>
      <c r="E150" s="67" t="s">
        <v>15</v>
      </c>
      <c r="F150" s="67" t="s">
        <v>35</v>
      </c>
      <c r="G150" s="67" t="s">
        <v>46</v>
      </c>
      <c r="H150" s="68">
        <v>38931</v>
      </c>
      <c r="I150" s="68"/>
      <c r="K150" s="70">
        <v>3.34</v>
      </c>
      <c r="L150" s="48">
        <v>90</v>
      </c>
      <c r="M150" s="48"/>
      <c r="N150" s="71">
        <f t="shared" si="6"/>
        <v>26.946107784431138</v>
      </c>
      <c r="O150" s="48" t="s">
        <v>5</v>
      </c>
      <c r="P150" s="72">
        <v>53.075000000000003</v>
      </c>
      <c r="Q150" s="72">
        <v>23.815000000000001</v>
      </c>
      <c r="R150" s="76">
        <v>0.5</v>
      </c>
      <c r="S150" s="72">
        <v>442.38499999999999</v>
      </c>
      <c r="T150" s="73">
        <v>9.36</v>
      </c>
      <c r="U150" s="72">
        <f>N150*1000*X150/100</f>
        <v>829.94011976047898</v>
      </c>
      <c r="V150" s="72">
        <f>S150*U150/1000</f>
        <v>367.15305988023948</v>
      </c>
      <c r="W150" s="72">
        <f>P150*U150/1000</f>
        <v>44.049071856287426</v>
      </c>
      <c r="X150" s="72">
        <v>3.08</v>
      </c>
      <c r="Y150" s="72">
        <v>18.862275449101794</v>
      </c>
      <c r="Z150" s="73">
        <v>16.167664670658684</v>
      </c>
      <c r="AA150" s="73">
        <v>70.059880239520965</v>
      </c>
      <c r="AB150" s="73">
        <v>2.6946107784431139</v>
      </c>
      <c r="AC150" s="72"/>
      <c r="AD150" s="72">
        <f>$N150*1000*$X150*0.01*$S150*0.001</f>
        <v>367.15305988023948</v>
      </c>
      <c r="AE150" s="72">
        <f>$N150*1000*$X150*0.01*$P150*0.001</f>
        <v>44.049071856287426</v>
      </c>
      <c r="AF150" s="72"/>
      <c r="AG150" s="72"/>
      <c r="AH150" s="74"/>
      <c r="AI150" s="72"/>
      <c r="AJ150" s="72"/>
      <c r="AK150" s="72"/>
      <c r="AL150" s="72"/>
    </row>
    <row r="151" spans="1:38">
      <c r="A151" s="65">
        <v>150</v>
      </c>
      <c r="B151" s="148">
        <v>2006</v>
      </c>
      <c r="C151" s="79" t="s">
        <v>136</v>
      </c>
      <c r="D151" s="67" t="s">
        <v>105</v>
      </c>
      <c r="E151" s="67" t="s">
        <v>23</v>
      </c>
      <c r="F151" s="67" t="s">
        <v>33</v>
      </c>
      <c r="G151" s="67" t="s">
        <v>34</v>
      </c>
      <c r="H151" s="68">
        <v>38964</v>
      </c>
      <c r="I151" s="68"/>
      <c r="J151" s="69">
        <v>5</v>
      </c>
      <c r="K151" s="70">
        <v>3.34</v>
      </c>
      <c r="L151" s="48">
        <v>4</v>
      </c>
      <c r="M151" s="48"/>
      <c r="N151" s="71">
        <f t="shared" si="6"/>
        <v>1.1976047904191618</v>
      </c>
      <c r="O151" s="48" t="s">
        <v>65</v>
      </c>
      <c r="P151" s="72"/>
      <c r="Q151" s="72"/>
      <c r="R151" s="72"/>
      <c r="S151" s="72"/>
      <c r="T151" s="72"/>
      <c r="U151" s="72"/>
      <c r="V151" s="72"/>
      <c r="W151" s="72"/>
      <c r="X151" s="72">
        <v>37</v>
      </c>
      <c r="Y151" s="72"/>
      <c r="Z151" s="72"/>
      <c r="AA151" s="72"/>
      <c r="AB151" s="72"/>
      <c r="AC151" s="72">
        <f>N151*AG151*X151*0.01</f>
        <v>1329.3413173652696</v>
      </c>
      <c r="AD151" s="72">
        <f>$AC151*0.4089</f>
        <v>543.5676646706587</v>
      </c>
      <c r="AE151" s="72">
        <f>$AC151*0.0263</f>
        <v>34.961676646706593</v>
      </c>
      <c r="AF151" s="72"/>
      <c r="AG151" s="72">
        <v>3000</v>
      </c>
      <c r="AI151" s="72"/>
      <c r="AJ151" s="72"/>
      <c r="AK151" s="72"/>
      <c r="AL151" s="72"/>
    </row>
    <row r="152" spans="1:38">
      <c r="A152" s="65">
        <v>151</v>
      </c>
      <c r="B152" s="148">
        <v>2006</v>
      </c>
      <c r="C152" s="79" t="s">
        <v>136</v>
      </c>
      <c r="D152" s="67" t="s">
        <v>105</v>
      </c>
      <c r="E152" s="67" t="s">
        <v>21</v>
      </c>
      <c r="F152" s="67" t="s">
        <v>36</v>
      </c>
      <c r="G152" s="67" t="s">
        <v>48</v>
      </c>
      <c r="H152" s="68">
        <v>38968</v>
      </c>
      <c r="I152" s="68"/>
      <c r="K152" s="70">
        <v>3.34</v>
      </c>
      <c r="L152" s="48">
        <v>60</v>
      </c>
      <c r="M152" s="48"/>
      <c r="N152" s="71">
        <f t="shared" si="6"/>
        <v>17.964071856287426</v>
      </c>
      <c r="O152" s="48" t="s">
        <v>3</v>
      </c>
      <c r="P152" s="72"/>
      <c r="Q152" s="72"/>
      <c r="R152" s="72"/>
      <c r="S152" s="72"/>
      <c r="T152" s="72"/>
      <c r="U152" s="72"/>
      <c r="V152" s="72"/>
      <c r="W152" s="72"/>
      <c r="X152" s="72"/>
      <c r="Y152" s="72"/>
      <c r="Z152" s="72"/>
      <c r="AA152" s="72"/>
      <c r="AB152" s="72"/>
      <c r="AC152" s="72"/>
      <c r="AD152" s="72"/>
      <c r="AE152" s="72"/>
      <c r="AF152" s="72"/>
      <c r="AG152" s="72"/>
      <c r="AH152" s="74"/>
      <c r="AI152" s="72"/>
      <c r="AJ152" s="72"/>
      <c r="AK152" s="72"/>
      <c r="AL152" s="72"/>
    </row>
    <row r="153" spans="1:38">
      <c r="A153" s="65">
        <v>152</v>
      </c>
      <c r="B153" s="148">
        <v>2006</v>
      </c>
      <c r="C153" s="79" t="s">
        <v>136</v>
      </c>
      <c r="D153" s="67" t="s">
        <v>105</v>
      </c>
      <c r="E153" s="67" t="s">
        <v>15</v>
      </c>
      <c r="F153" s="67" t="s">
        <v>35</v>
      </c>
      <c r="G153" s="67" t="s">
        <v>46</v>
      </c>
      <c r="H153" s="68">
        <v>39009</v>
      </c>
      <c r="I153" s="68"/>
      <c r="K153" s="70">
        <v>3.34</v>
      </c>
      <c r="L153" s="48">
        <v>110</v>
      </c>
      <c r="M153" s="48"/>
      <c r="N153" s="71">
        <f t="shared" si="6"/>
        <v>32.93413173652695</v>
      </c>
      <c r="O153" s="48" t="s">
        <v>5</v>
      </c>
      <c r="P153" s="72">
        <v>53.075000000000003</v>
      </c>
      <c r="Q153" s="72">
        <v>23.815000000000001</v>
      </c>
      <c r="R153" s="76">
        <v>0.5</v>
      </c>
      <c r="S153" s="72">
        <v>442.38499999999999</v>
      </c>
      <c r="T153" s="73">
        <v>9.36</v>
      </c>
      <c r="U153" s="72">
        <f>N153*1000*X153/100</f>
        <v>1014.3712574850301</v>
      </c>
      <c r="V153" s="72">
        <f>S153*U153/1000</f>
        <v>448.74262874251502</v>
      </c>
      <c r="W153" s="72">
        <f>P153*U153/1000</f>
        <v>53.837754491017975</v>
      </c>
      <c r="X153" s="72">
        <v>3.08</v>
      </c>
      <c r="Y153" s="72">
        <v>23.053892215568862</v>
      </c>
      <c r="Z153" s="73">
        <v>19.76047904191617</v>
      </c>
      <c r="AA153" s="73">
        <v>85.628742514970057</v>
      </c>
      <c r="AB153" s="73">
        <v>3.2934131736526946</v>
      </c>
      <c r="AC153" s="72"/>
      <c r="AD153" s="72">
        <f>$N153*1000*$X153*0.01*$S153*0.001</f>
        <v>448.74262874251508</v>
      </c>
      <c r="AE153" s="72">
        <f>$N153*1000*$X153*0.01*$P153*0.001</f>
        <v>53.837754491017982</v>
      </c>
      <c r="AF153" s="72"/>
      <c r="AG153" s="72"/>
      <c r="AH153" s="74"/>
      <c r="AI153" s="72"/>
      <c r="AJ153" s="72"/>
      <c r="AK153" s="72"/>
      <c r="AL153" s="72"/>
    </row>
    <row r="154" spans="1:38">
      <c r="A154" s="65">
        <v>153</v>
      </c>
      <c r="B154" s="148">
        <v>2006</v>
      </c>
      <c r="C154" s="79" t="s">
        <v>136</v>
      </c>
      <c r="D154" s="67" t="s">
        <v>105</v>
      </c>
      <c r="E154" s="67" t="s">
        <v>15</v>
      </c>
      <c r="F154" s="67" t="s">
        <v>35</v>
      </c>
      <c r="G154" s="67" t="s">
        <v>46</v>
      </c>
      <c r="H154" s="68">
        <v>39062</v>
      </c>
      <c r="I154" s="68"/>
      <c r="K154" s="70">
        <v>3.34</v>
      </c>
      <c r="L154" s="48">
        <v>120</v>
      </c>
      <c r="M154" s="48"/>
      <c r="N154" s="71">
        <f t="shared" si="6"/>
        <v>35.928143712574851</v>
      </c>
      <c r="O154" s="48" t="s">
        <v>5</v>
      </c>
      <c r="P154" s="72">
        <v>53.075000000000003</v>
      </c>
      <c r="Q154" s="72">
        <v>23.815000000000001</v>
      </c>
      <c r="R154" s="76">
        <v>0.5</v>
      </c>
      <c r="S154" s="72">
        <v>442.38499999999999</v>
      </c>
      <c r="T154" s="73">
        <v>9.36</v>
      </c>
      <c r="U154" s="72">
        <f>N154*1000*X154/100</f>
        <v>1106.5868263473053</v>
      </c>
      <c r="V154" s="72">
        <f>S154*U154/1000</f>
        <v>489.53741317365268</v>
      </c>
      <c r="W154" s="72">
        <f>P154*U154/1000</f>
        <v>58.732095808383228</v>
      </c>
      <c r="X154" s="72">
        <v>3.08</v>
      </c>
      <c r="Y154" s="72">
        <v>25.149700598802397</v>
      </c>
      <c r="Z154" s="73">
        <v>21.556886227544911</v>
      </c>
      <c r="AA154" s="73">
        <v>93.41317365269461</v>
      </c>
      <c r="AB154" s="73">
        <v>3.5928143712574854</v>
      </c>
      <c r="AC154" s="72"/>
      <c r="AD154" s="72">
        <f>$N154*1000*$X154*0.01*$S154*0.001</f>
        <v>489.53741317365268</v>
      </c>
      <c r="AE154" s="72">
        <f>$N154*1000*$X154*0.01*$P154*0.001</f>
        <v>58.732095808383228</v>
      </c>
      <c r="AF154" s="72"/>
      <c r="AG154" s="72"/>
      <c r="AH154" s="74"/>
      <c r="AI154" s="72"/>
      <c r="AJ154" s="72"/>
      <c r="AK154" s="72"/>
      <c r="AL154" s="72"/>
    </row>
    <row r="155" spans="1:38">
      <c r="A155" s="65">
        <v>154</v>
      </c>
      <c r="B155" s="148">
        <v>2006</v>
      </c>
      <c r="C155" s="79" t="s">
        <v>136</v>
      </c>
      <c r="D155" s="67" t="s">
        <v>105</v>
      </c>
      <c r="E155" s="67" t="s">
        <v>23</v>
      </c>
      <c r="F155" s="67" t="s">
        <v>33</v>
      </c>
      <c r="G155" s="67" t="s">
        <v>34</v>
      </c>
      <c r="H155" s="68">
        <v>39000</v>
      </c>
      <c r="I155" s="68"/>
      <c r="J155" s="69">
        <v>6</v>
      </c>
      <c r="K155" s="70">
        <v>3.34</v>
      </c>
      <c r="L155" s="48">
        <v>17</v>
      </c>
      <c r="M155" s="48"/>
      <c r="N155" s="71">
        <f t="shared" si="6"/>
        <v>5.0898203592814371</v>
      </c>
      <c r="O155" s="83" t="s">
        <v>68</v>
      </c>
      <c r="P155" s="72"/>
      <c r="Q155" s="72"/>
      <c r="R155" s="72"/>
      <c r="S155" s="72"/>
      <c r="T155" s="72"/>
      <c r="U155" s="72"/>
      <c r="V155" s="72"/>
      <c r="W155" s="72"/>
      <c r="X155" s="72">
        <v>37</v>
      </c>
      <c r="Y155" s="72"/>
      <c r="Z155" s="72"/>
      <c r="AA155" s="72"/>
      <c r="AB155" s="72"/>
      <c r="AC155" s="72">
        <f>N155*AG155*X155*0.01</f>
        <v>1158.188622754491</v>
      </c>
      <c r="AD155" s="72">
        <f>$AC155*0.4089</f>
        <v>473.58332784431138</v>
      </c>
      <c r="AE155" s="72">
        <f>$AC155*0.0263</f>
        <v>30.460360778443114</v>
      </c>
      <c r="AF155" s="72"/>
      <c r="AG155" s="72">
        <v>615</v>
      </c>
      <c r="AI155" s="72"/>
      <c r="AJ155" s="72"/>
      <c r="AK155" s="72"/>
      <c r="AL155" s="72"/>
    </row>
    <row r="156" spans="1:38">
      <c r="A156" s="65">
        <v>155</v>
      </c>
      <c r="B156" s="149">
        <v>2007</v>
      </c>
      <c r="C156" s="66" t="s">
        <v>135</v>
      </c>
      <c r="D156" s="67" t="s">
        <v>105</v>
      </c>
      <c r="E156" s="67" t="s">
        <v>15</v>
      </c>
      <c r="F156" s="67" t="s">
        <v>35</v>
      </c>
      <c r="G156" s="67" t="s">
        <v>44</v>
      </c>
      <c r="H156" s="68">
        <v>39147</v>
      </c>
      <c r="I156" s="68"/>
      <c r="K156" s="70">
        <v>1.42</v>
      </c>
      <c r="L156" s="48">
        <v>20</v>
      </c>
      <c r="M156" s="48"/>
      <c r="N156" s="71">
        <f t="shared" si="6"/>
        <v>14.084507042253522</v>
      </c>
      <c r="O156" s="48" t="s">
        <v>2</v>
      </c>
      <c r="P156" s="72">
        <v>32.07</v>
      </c>
      <c r="Q156" s="72">
        <v>3.6</v>
      </c>
      <c r="R156" s="76" t="s">
        <v>60</v>
      </c>
      <c r="S156" s="72">
        <v>458.62</v>
      </c>
      <c r="T156" s="73">
        <v>14.3</v>
      </c>
      <c r="U156" s="72">
        <f>N156*1000*X156/100</f>
        <v>2353.5211267605637</v>
      </c>
      <c r="V156" s="72">
        <f>S156*U156/1000</f>
        <v>1079.3718591549296</v>
      </c>
      <c r="W156" s="72">
        <f>U156*P156/1000</f>
        <v>75.477422535211289</v>
      </c>
      <c r="X156" s="72">
        <v>16.71</v>
      </c>
      <c r="Y156" s="72">
        <v>21</v>
      </c>
      <c r="Z156" s="73">
        <v>31</v>
      </c>
      <c r="AA156" s="73">
        <v>152</v>
      </c>
      <c r="AB156" s="73">
        <v>13</v>
      </c>
      <c r="AC156" s="72"/>
      <c r="AD156" s="72">
        <f>$N156*1000*$X156*0.01*$S156*0.001</f>
        <v>1079.3718591549296</v>
      </c>
      <c r="AE156" s="72">
        <f>$N156*1000*$X156*0.01*$P156*0.001</f>
        <v>75.477422535211289</v>
      </c>
      <c r="AF156" s="72"/>
      <c r="AG156" s="72"/>
      <c r="AH156" s="74"/>
      <c r="AI156" s="72"/>
      <c r="AJ156" s="72"/>
      <c r="AK156" s="72"/>
      <c r="AL156" s="72"/>
    </row>
    <row r="157" spans="1:38">
      <c r="A157" s="65">
        <v>156</v>
      </c>
      <c r="B157" s="149">
        <v>2007</v>
      </c>
      <c r="C157" s="66" t="s">
        <v>135</v>
      </c>
      <c r="D157" s="67" t="s">
        <v>105</v>
      </c>
      <c r="E157" s="67" t="s">
        <v>24</v>
      </c>
      <c r="F157" s="67" t="s">
        <v>28</v>
      </c>
      <c r="G157" s="77" t="s">
        <v>124</v>
      </c>
      <c r="H157" s="68">
        <v>39157</v>
      </c>
      <c r="I157" s="68"/>
      <c r="K157" s="70">
        <v>1.42</v>
      </c>
      <c r="L157" s="72"/>
      <c r="M157" s="72"/>
      <c r="N157" s="72"/>
      <c r="P157" s="72"/>
      <c r="Q157" s="72"/>
      <c r="R157" s="72"/>
      <c r="S157" s="72"/>
      <c r="T157" s="72"/>
      <c r="U157" s="72"/>
      <c r="V157" s="72"/>
      <c r="W157" s="72"/>
      <c r="X157" s="72"/>
      <c r="Y157" s="72"/>
      <c r="Z157" s="72"/>
      <c r="AA157" s="72"/>
      <c r="AB157" s="72"/>
      <c r="AC157" s="72"/>
      <c r="AD157" s="72"/>
      <c r="AE157" s="72"/>
      <c r="AF157" s="72"/>
      <c r="AG157" s="72"/>
      <c r="AH157" s="74"/>
      <c r="AI157" s="72"/>
      <c r="AJ157" s="72"/>
      <c r="AK157" s="72"/>
      <c r="AL157" s="72"/>
    </row>
    <row r="158" spans="1:38">
      <c r="A158" s="65">
        <v>157</v>
      </c>
      <c r="B158" s="149">
        <v>2007</v>
      </c>
      <c r="C158" s="66" t="s">
        <v>135</v>
      </c>
      <c r="D158" s="67" t="s">
        <v>105</v>
      </c>
      <c r="E158" s="67" t="s">
        <v>23</v>
      </c>
      <c r="F158" s="67" t="s">
        <v>33</v>
      </c>
      <c r="G158" s="67" t="s">
        <v>34</v>
      </c>
      <c r="H158" s="68">
        <v>39188</v>
      </c>
      <c r="I158" s="68">
        <v>39189</v>
      </c>
      <c r="J158" s="69">
        <v>1</v>
      </c>
      <c r="K158" s="70">
        <v>1.42</v>
      </c>
      <c r="L158" s="48">
        <v>2</v>
      </c>
      <c r="M158" s="48"/>
      <c r="N158" s="71">
        <f t="shared" ref="N158:N189" si="7">IF(L158/K158&gt;0, L158/K158,"")</f>
        <v>1.4084507042253522</v>
      </c>
      <c r="O158" s="48" t="s">
        <v>65</v>
      </c>
      <c r="P158" s="72"/>
      <c r="Q158" s="72"/>
      <c r="R158" s="72"/>
      <c r="S158" s="72"/>
      <c r="T158" s="72"/>
      <c r="U158" s="72"/>
      <c r="V158" s="72"/>
      <c r="W158" s="72"/>
      <c r="X158" s="72">
        <v>37</v>
      </c>
      <c r="Y158" s="72"/>
      <c r="Z158" s="72"/>
      <c r="AA158" s="72"/>
      <c r="AB158" s="72"/>
      <c r="AC158" s="72">
        <f>N158*AG158*X158*0.01</f>
        <v>1563.3802816901411</v>
      </c>
      <c r="AD158" s="72">
        <f>AC158*0.4089</f>
        <v>639.26619718309871</v>
      </c>
      <c r="AE158" s="72">
        <f>AC158*0.0263</f>
        <v>41.116901408450715</v>
      </c>
      <c r="AF158" s="72"/>
      <c r="AG158" s="72">
        <v>3000</v>
      </c>
      <c r="AI158" s="72"/>
      <c r="AJ158" s="72"/>
      <c r="AK158" s="72"/>
      <c r="AL158" s="72"/>
    </row>
    <row r="159" spans="1:38">
      <c r="A159" s="65">
        <v>158</v>
      </c>
      <c r="B159" s="149">
        <v>2007</v>
      </c>
      <c r="C159" s="66" t="s">
        <v>135</v>
      </c>
      <c r="D159" s="67" t="s">
        <v>105</v>
      </c>
      <c r="E159" s="67" t="s">
        <v>23</v>
      </c>
      <c r="F159" s="67" t="s">
        <v>33</v>
      </c>
      <c r="G159" s="67" t="s">
        <v>34</v>
      </c>
      <c r="H159" s="68">
        <v>39224</v>
      </c>
      <c r="I159" s="68">
        <v>39225</v>
      </c>
      <c r="J159" s="69">
        <v>2</v>
      </c>
      <c r="K159" s="70">
        <v>1.42</v>
      </c>
      <c r="L159" s="48">
        <v>2</v>
      </c>
      <c r="M159" s="48"/>
      <c r="N159" s="71">
        <f t="shared" si="7"/>
        <v>1.4084507042253522</v>
      </c>
      <c r="O159" s="48" t="s">
        <v>65</v>
      </c>
      <c r="P159" s="72"/>
      <c r="Q159" s="72"/>
      <c r="R159" s="72"/>
      <c r="S159" s="72"/>
      <c r="T159" s="72"/>
      <c r="U159" s="72"/>
      <c r="V159" s="72"/>
      <c r="W159" s="72"/>
      <c r="X159" s="72">
        <v>37</v>
      </c>
      <c r="Y159" s="72"/>
      <c r="Z159" s="72"/>
      <c r="AA159" s="72"/>
      <c r="AB159" s="72"/>
      <c r="AC159" s="72">
        <f>N159*AG159*X159*0.01</f>
        <v>1563.3802816901411</v>
      </c>
      <c r="AD159" s="72">
        <f>AC159*0.4089</f>
        <v>639.26619718309871</v>
      </c>
      <c r="AE159" s="72">
        <f>AC159*0.0263</f>
        <v>41.116901408450715</v>
      </c>
      <c r="AF159" s="72"/>
      <c r="AG159" s="72">
        <v>3000</v>
      </c>
      <c r="AI159" s="72"/>
      <c r="AJ159" s="72"/>
      <c r="AK159" s="72"/>
      <c r="AL159" s="72"/>
    </row>
    <row r="160" spans="1:38">
      <c r="A160" s="65">
        <v>159</v>
      </c>
      <c r="B160" s="149">
        <v>2007</v>
      </c>
      <c r="C160" s="66" t="s">
        <v>135</v>
      </c>
      <c r="D160" s="67" t="s">
        <v>105</v>
      </c>
      <c r="E160" s="67" t="s">
        <v>15</v>
      </c>
      <c r="F160" s="67" t="s">
        <v>35</v>
      </c>
      <c r="G160" s="67" t="s">
        <v>46</v>
      </c>
      <c r="H160" s="68">
        <v>39233</v>
      </c>
      <c r="I160" s="68"/>
      <c r="K160" s="70">
        <v>1.42</v>
      </c>
      <c r="L160" s="48">
        <v>40</v>
      </c>
      <c r="M160" s="48"/>
      <c r="N160" s="71">
        <f t="shared" si="7"/>
        <v>28.169014084507044</v>
      </c>
      <c r="O160" s="48" t="s">
        <v>5</v>
      </c>
      <c r="P160" s="72">
        <v>46.02</v>
      </c>
      <c r="Q160" s="72">
        <v>21.14</v>
      </c>
      <c r="R160" s="76" t="s">
        <v>60</v>
      </c>
      <c r="S160" s="72">
        <v>461.74</v>
      </c>
      <c r="T160" s="73">
        <v>10.029999999999999</v>
      </c>
      <c r="U160" s="72">
        <f>N160*1000*X160/100</f>
        <v>1132.3943661971832</v>
      </c>
      <c r="V160" s="72">
        <f>S160*U160/1000</f>
        <v>522.87177464788738</v>
      </c>
      <c r="W160" s="72">
        <f>P160*U160/1000</f>
        <v>52.112788732394371</v>
      </c>
      <c r="X160" s="72">
        <v>4.0199999999999996</v>
      </c>
      <c r="Y160" s="72">
        <v>20</v>
      </c>
      <c r="Z160" s="73">
        <v>17</v>
      </c>
      <c r="AA160" s="73">
        <v>73</v>
      </c>
      <c r="AB160" s="73">
        <v>3</v>
      </c>
      <c r="AC160" s="72"/>
      <c r="AD160" s="72">
        <f>$N160*1000*$X160*0.01*$S160*0.001</f>
        <v>522.87177464788738</v>
      </c>
      <c r="AE160" s="72">
        <f>$N160*1000*$X160*0.01*$P160*0.001</f>
        <v>52.112788732394371</v>
      </c>
      <c r="AF160" s="72"/>
      <c r="AG160" s="72"/>
      <c r="AH160" s="74"/>
      <c r="AI160" s="72"/>
      <c r="AJ160" s="72"/>
      <c r="AK160" s="72"/>
      <c r="AL160" s="72"/>
    </row>
    <row r="161" spans="1:38">
      <c r="A161" s="65">
        <v>160</v>
      </c>
      <c r="B161" s="149">
        <v>2007</v>
      </c>
      <c r="C161" s="66" t="s">
        <v>135</v>
      </c>
      <c r="D161" s="67" t="s">
        <v>105</v>
      </c>
      <c r="E161" s="67" t="s">
        <v>23</v>
      </c>
      <c r="F161" s="67" t="s">
        <v>33</v>
      </c>
      <c r="G161" s="78" t="s">
        <v>41</v>
      </c>
      <c r="H161" s="68">
        <v>39261</v>
      </c>
      <c r="I161" s="68">
        <v>39262</v>
      </c>
      <c r="J161" s="69">
        <v>3</v>
      </c>
      <c r="K161" s="70">
        <v>1.42</v>
      </c>
      <c r="L161" s="48">
        <v>4</v>
      </c>
      <c r="M161" s="48"/>
      <c r="N161" s="71">
        <f t="shared" si="7"/>
        <v>2.8169014084507045</v>
      </c>
      <c r="O161" s="48" t="s">
        <v>65</v>
      </c>
      <c r="P161" s="72"/>
      <c r="Q161" s="72"/>
      <c r="R161" s="72"/>
      <c r="S161" s="72"/>
      <c r="T161" s="72"/>
      <c r="U161" s="72"/>
      <c r="V161" s="72"/>
      <c r="W161" s="72"/>
      <c r="X161" s="72">
        <v>70</v>
      </c>
      <c r="Y161" s="72"/>
      <c r="Z161" s="72"/>
      <c r="AA161" s="72"/>
      <c r="AB161" s="72"/>
      <c r="AC161" s="72">
        <f>N161*AG161*X161*0.01</f>
        <v>2957.74647887324</v>
      </c>
      <c r="AD161" s="72">
        <f>AC161*0.4089</f>
        <v>1209.4225352112678</v>
      </c>
      <c r="AE161" s="72">
        <f>AC161*0.0263</f>
        <v>77.788732394366207</v>
      </c>
      <c r="AF161" s="72"/>
      <c r="AG161" s="72">
        <v>1500</v>
      </c>
      <c r="AI161" s="72"/>
      <c r="AJ161" s="72"/>
      <c r="AK161" s="72"/>
      <c r="AL161" s="72"/>
    </row>
    <row r="162" spans="1:38">
      <c r="A162" s="65">
        <v>161</v>
      </c>
      <c r="B162" s="149">
        <v>2007</v>
      </c>
      <c r="C162" s="66" t="s">
        <v>135</v>
      </c>
      <c r="D162" s="67" t="s">
        <v>105</v>
      </c>
      <c r="E162" s="67" t="s">
        <v>15</v>
      </c>
      <c r="F162" s="67" t="s">
        <v>35</v>
      </c>
      <c r="G162" s="67" t="s">
        <v>46</v>
      </c>
      <c r="H162" s="68">
        <v>39269</v>
      </c>
      <c r="I162" s="68"/>
      <c r="K162" s="70">
        <v>1.42</v>
      </c>
      <c r="L162" s="48">
        <v>60</v>
      </c>
      <c r="M162" s="48"/>
      <c r="N162" s="71">
        <f t="shared" si="7"/>
        <v>42.253521126760567</v>
      </c>
      <c r="O162" s="48" t="s">
        <v>5</v>
      </c>
      <c r="P162" s="72">
        <v>41.4</v>
      </c>
      <c r="Q162" s="72">
        <v>20.82</v>
      </c>
      <c r="R162" s="76" t="s">
        <v>60</v>
      </c>
      <c r="S162" s="72">
        <v>480.7</v>
      </c>
      <c r="T162" s="73">
        <v>11.61</v>
      </c>
      <c r="U162" s="72">
        <f>N162*1000*X162/100</f>
        <v>1745.0704225352115</v>
      </c>
      <c r="V162" s="72">
        <f>S162*U162/1000</f>
        <v>838.85535211267609</v>
      </c>
      <c r="W162" s="72">
        <f>P162*U162/1000</f>
        <v>72.245915492957749</v>
      </c>
      <c r="X162" s="72">
        <v>4.13</v>
      </c>
      <c r="Y162" s="72">
        <v>30</v>
      </c>
      <c r="Z162" s="73">
        <v>25</v>
      </c>
      <c r="AA162" s="73">
        <v>110</v>
      </c>
      <c r="AB162" s="73">
        <v>4</v>
      </c>
      <c r="AC162" s="72"/>
      <c r="AD162" s="72">
        <f>$N162*1000*$X162*0.01*$S162*0.001</f>
        <v>838.8553521126762</v>
      </c>
      <c r="AE162" s="72">
        <f>$N162*1000*$X162*0.01*$P162*0.001</f>
        <v>72.245915492957749</v>
      </c>
      <c r="AF162" s="72"/>
      <c r="AG162" s="72"/>
      <c r="AH162" s="74"/>
      <c r="AI162" s="72"/>
      <c r="AJ162" s="72"/>
      <c r="AK162" s="72"/>
      <c r="AL162" s="72"/>
    </row>
    <row r="163" spans="1:38">
      <c r="A163" s="65">
        <v>162</v>
      </c>
      <c r="B163" s="149">
        <v>2007</v>
      </c>
      <c r="C163" s="66" t="s">
        <v>135</v>
      </c>
      <c r="D163" s="67" t="s">
        <v>105</v>
      </c>
      <c r="E163" s="67" t="s">
        <v>23</v>
      </c>
      <c r="F163" s="67" t="s">
        <v>33</v>
      </c>
      <c r="G163" s="67" t="s">
        <v>34</v>
      </c>
      <c r="H163" s="68">
        <v>39294</v>
      </c>
      <c r="I163" s="68">
        <v>39295</v>
      </c>
      <c r="J163" s="69">
        <v>4</v>
      </c>
      <c r="K163" s="70">
        <v>1.42</v>
      </c>
      <c r="L163" s="48">
        <v>2</v>
      </c>
      <c r="M163" s="48"/>
      <c r="N163" s="71">
        <f t="shared" si="7"/>
        <v>1.4084507042253522</v>
      </c>
      <c r="O163" s="48" t="s">
        <v>65</v>
      </c>
      <c r="P163" s="72"/>
      <c r="Q163" s="72"/>
      <c r="R163" s="72"/>
      <c r="S163" s="72"/>
      <c r="T163" s="72"/>
      <c r="U163" s="72"/>
      <c r="V163" s="72"/>
      <c r="W163" s="72"/>
      <c r="X163" s="72">
        <v>37</v>
      </c>
      <c r="Y163" s="72"/>
      <c r="Z163" s="72"/>
      <c r="AA163" s="72"/>
      <c r="AB163" s="72"/>
      <c r="AC163" s="72">
        <f>N163*AG163*X163*0.01</f>
        <v>1563.3802816901411</v>
      </c>
      <c r="AD163" s="72">
        <f>AC163*0.4089</f>
        <v>639.26619718309871</v>
      </c>
      <c r="AE163" s="72">
        <f>AC163*0.0263</f>
        <v>41.116901408450715</v>
      </c>
      <c r="AF163" s="72"/>
      <c r="AG163" s="72">
        <v>3000</v>
      </c>
      <c r="AI163" s="72"/>
      <c r="AJ163" s="72"/>
      <c r="AK163" s="72"/>
      <c r="AL163" s="72"/>
    </row>
    <row r="164" spans="1:38">
      <c r="A164" s="65">
        <v>163</v>
      </c>
      <c r="B164" s="149">
        <v>2007</v>
      </c>
      <c r="C164" s="66" t="s">
        <v>135</v>
      </c>
      <c r="D164" s="67" t="s">
        <v>105</v>
      </c>
      <c r="E164" s="67" t="s">
        <v>15</v>
      </c>
      <c r="F164" s="67" t="s">
        <v>35</v>
      </c>
      <c r="G164" s="67" t="s">
        <v>46</v>
      </c>
      <c r="H164" s="68">
        <v>39297</v>
      </c>
      <c r="I164" s="68"/>
      <c r="K164" s="70">
        <v>1.42</v>
      </c>
      <c r="L164" s="48">
        <v>50</v>
      </c>
      <c r="M164" s="48"/>
      <c r="N164" s="71">
        <f t="shared" si="7"/>
        <v>35.211267605633807</v>
      </c>
      <c r="O164" s="48" t="s">
        <v>5</v>
      </c>
      <c r="P164" s="72">
        <v>55.38</v>
      </c>
      <c r="Q164" s="72">
        <v>27.69</v>
      </c>
      <c r="R164" s="72">
        <v>1.54</v>
      </c>
      <c r="S164" s="72">
        <v>413.28</v>
      </c>
      <c r="T164" s="73">
        <v>7.46</v>
      </c>
      <c r="U164" s="72">
        <f>N164*1000*X164/100</f>
        <v>686.61971830985931</v>
      </c>
      <c r="V164" s="72">
        <f>S164*U164/1000</f>
        <v>283.76619718309865</v>
      </c>
      <c r="W164" s="72">
        <f>P164*U164/1000</f>
        <v>38.025000000000006</v>
      </c>
      <c r="X164" s="72">
        <v>1.95</v>
      </c>
      <c r="Y164" s="72">
        <v>25</v>
      </c>
      <c r="Z164" s="73">
        <v>21</v>
      </c>
      <c r="AA164" s="73">
        <v>92</v>
      </c>
      <c r="AB164" s="73">
        <v>4</v>
      </c>
      <c r="AC164" s="72"/>
      <c r="AD164" s="72">
        <f>$N164*1000*$X164*0.01*$S164*0.001</f>
        <v>283.76619718309865</v>
      </c>
      <c r="AE164" s="72">
        <f>$N164*1000*$X164*0.01*$P164*0.001</f>
        <v>38.025000000000006</v>
      </c>
      <c r="AF164" s="72"/>
      <c r="AG164" s="72"/>
      <c r="AH164" s="74"/>
      <c r="AI164" s="72"/>
      <c r="AJ164" s="72"/>
      <c r="AK164" s="72"/>
      <c r="AL164" s="72"/>
    </row>
    <row r="165" spans="1:38">
      <c r="A165" s="65">
        <v>164</v>
      </c>
      <c r="B165" s="149">
        <v>2007</v>
      </c>
      <c r="C165" s="66" t="s">
        <v>135</v>
      </c>
      <c r="D165" s="67" t="s">
        <v>105</v>
      </c>
      <c r="E165" s="67" t="s">
        <v>23</v>
      </c>
      <c r="F165" s="67" t="s">
        <v>33</v>
      </c>
      <c r="G165" s="75" t="s">
        <v>34</v>
      </c>
      <c r="H165" s="68">
        <v>39342</v>
      </c>
      <c r="I165" s="68">
        <v>39343</v>
      </c>
      <c r="J165" s="69">
        <v>5</v>
      </c>
      <c r="K165" s="70">
        <v>1.42</v>
      </c>
      <c r="L165" s="48">
        <v>2</v>
      </c>
      <c r="M165" s="48"/>
      <c r="N165" s="71">
        <f t="shared" si="7"/>
        <v>1.4084507042253522</v>
      </c>
      <c r="O165" s="48" t="s">
        <v>65</v>
      </c>
      <c r="P165" s="72"/>
      <c r="Q165" s="72"/>
      <c r="R165" s="72"/>
      <c r="S165" s="72"/>
      <c r="T165" s="72"/>
      <c r="U165" s="72"/>
      <c r="V165" s="72"/>
      <c r="W165" s="72"/>
      <c r="X165" s="72">
        <v>37</v>
      </c>
      <c r="Y165" s="72"/>
      <c r="Z165" s="72"/>
      <c r="AA165" s="72"/>
      <c r="AB165" s="72"/>
      <c r="AC165" s="72">
        <f>N165*AG165*X165*0.01</f>
        <v>1563.3802816901411</v>
      </c>
      <c r="AD165" s="72">
        <f>AC165*0.4089</f>
        <v>639.26619718309871</v>
      </c>
      <c r="AE165" s="72">
        <f>AC165*0.0263</f>
        <v>41.116901408450715</v>
      </c>
      <c r="AF165" s="72"/>
      <c r="AG165" s="72">
        <v>3000</v>
      </c>
      <c r="AI165" s="72"/>
      <c r="AJ165" s="72"/>
      <c r="AK165" s="72"/>
      <c r="AL165" s="72"/>
    </row>
    <row r="166" spans="1:38">
      <c r="A166" s="65">
        <v>165</v>
      </c>
      <c r="B166" s="149">
        <v>2007</v>
      </c>
      <c r="C166" s="66" t="s">
        <v>135</v>
      </c>
      <c r="D166" s="67" t="s">
        <v>105</v>
      </c>
      <c r="E166" s="67" t="s">
        <v>23</v>
      </c>
      <c r="F166" s="67" t="s">
        <v>33</v>
      </c>
      <c r="G166" s="67" t="s">
        <v>34</v>
      </c>
      <c r="H166" s="68">
        <v>39363</v>
      </c>
      <c r="I166" s="68">
        <v>39365</v>
      </c>
      <c r="J166" s="69">
        <v>6</v>
      </c>
      <c r="K166" s="70">
        <v>1.42</v>
      </c>
      <c r="L166" s="48">
        <v>6</v>
      </c>
      <c r="M166" s="48"/>
      <c r="N166" s="71">
        <f t="shared" si="7"/>
        <v>4.2253521126760569</v>
      </c>
      <c r="O166" s="83" t="s">
        <v>68</v>
      </c>
      <c r="P166" s="72"/>
      <c r="Q166" s="72"/>
      <c r="R166" s="72"/>
      <c r="S166" s="72"/>
      <c r="T166" s="72"/>
      <c r="U166" s="72"/>
      <c r="V166" s="72"/>
      <c r="W166" s="72"/>
      <c r="X166" s="72">
        <v>37</v>
      </c>
      <c r="Y166" s="72"/>
      <c r="Z166" s="72"/>
      <c r="AA166" s="72"/>
      <c r="AB166" s="72"/>
      <c r="AC166" s="72">
        <f>N166*AG166*X166*0.01</f>
        <v>961.47887323943678</v>
      </c>
      <c r="AD166" s="72">
        <f>AC166*0.4089</f>
        <v>393.14871126760568</v>
      </c>
      <c r="AE166" s="72">
        <f>AC166*0.0263</f>
        <v>25.286894366197188</v>
      </c>
      <c r="AF166" s="72"/>
      <c r="AG166" s="72">
        <v>615</v>
      </c>
      <c r="AI166" s="72"/>
      <c r="AJ166" s="72"/>
      <c r="AK166" s="72"/>
      <c r="AL166" s="72"/>
    </row>
    <row r="167" spans="1:38">
      <c r="A167" s="65">
        <v>166</v>
      </c>
      <c r="B167" s="149">
        <v>2007</v>
      </c>
      <c r="C167" s="66" t="s">
        <v>135</v>
      </c>
      <c r="D167" s="67" t="s">
        <v>105</v>
      </c>
      <c r="E167" s="67" t="s">
        <v>15</v>
      </c>
      <c r="F167" s="67" t="s">
        <v>35</v>
      </c>
      <c r="G167" s="67" t="s">
        <v>46</v>
      </c>
      <c r="H167" s="68">
        <v>39366</v>
      </c>
      <c r="I167" s="68"/>
      <c r="K167" s="70">
        <v>1.42</v>
      </c>
      <c r="L167" s="48">
        <v>50</v>
      </c>
      <c r="M167" s="48"/>
      <c r="N167" s="71">
        <f t="shared" si="7"/>
        <v>35.211267605633807</v>
      </c>
      <c r="O167" s="48" t="s">
        <v>5</v>
      </c>
      <c r="P167" s="72">
        <v>60.08</v>
      </c>
      <c r="Q167" s="72">
        <v>24.6</v>
      </c>
      <c r="R167" s="76" t="s">
        <v>60</v>
      </c>
      <c r="S167" s="72">
        <v>434.61</v>
      </c>
      <c r="T167" s="73">
        <v>7.23</v>
      </c>
      <c r="U167" s="72">
        <f>N167*1000*X167/100</f>
        <v>873.2394366197185</v>
      </c>
      <c r="V167" s="72">
        <f>S167*U167/1000</f>
        <v>379.51859154929588</v>
      </c>
      <c r="W167" s="72">
        <f>P167*U167/1000</f>
        <v>52.464225352112685</v>
      </c>
      <c r="X167" s="72">
        <v>2.48</v>
      </c>
      <c r="Y167" s="72">
        <v>18</v>
      </c>
      <c r="Z167" s="73">
        <v>16</v>
      </c>
      <c r="AA167" s="73">
        <v>70</v>
      </c>
      <c r="AB167" s="73">
        <v>4</v>
      </c>
      <c r="AC167" s="72"/>
      <c r="AD167" s="72">
        <f>$N167*1000*$X167*0.01*$S167*0.001</f>
        <v>379.51859154929588</v>
      </c>
      <c r="AE167" s="72">
        <f>$N167*1000*$X167*0.01*$P167*0.001</f>
        <v>52.464225352112685</v>
      </c>
      <c r="AF167" s="72"/>
      <c r="AG167" s="72"/>
      <c r="AH167" s="74"/>
      <c r="AI167" s="72"/>
      <c r="AJ167" s="72"/>
      <c r="AK167" s="72"/>
      <c r="AL167" s="72"/>
    </row>
    <row r="168" spans="1:38">
      <c r="A168" s="65">
        <v>167</v>
      </c>
      <c r="B168" s="149">
        <v>2007</v>
      </c>
      <c r="C168" s="66" t="s">
        <v>135</v>
      </c>
      <c r="D168" s="67" t="s">
        <v>105</v>
      </c>
      <c r="E168" s="67" t="s">
        <v>23</v>
      </c>
      <c r="F168" s="67" t="s">
        <v>27</v>
      </c>
      <c r="G168" s="67" t="s">
        <v>45</v>
      </c>
      <c r="H168" s="68">
        <v>39392</v>
      </c>
      <c r="I168" s="68">
        <v>39398</v>
      </c>
      <c r="J168" s="69">
        <v>7</v>
      </c>
      <c r="K168" s="70">
        <v>1.42</v>
      </c>
      <c r="L168" s="71">
        <v>90</v>
      </c>
      <c r="M168" s="71"/>
      <c r="N168" s="71">
        <f t="shared" si="7"/>
        <v>63.380281690140848</v>
      </c>
      <c r="O168" s="48" t="s">
        <v>64</v>
      </c>
      <c r="P168" s="72"/>
      <c r="Q168" s="72"/>
      <c r="R168" s="72"/>
      <c r="S168" s="72"/>
      <c r="T168" s="72"/>
      <c r="U168" s="72"/>
      <c r="V168" s="72"/>
      <c r="W168" s="72"/>
      <c r="X168" s="72"/>
      <c r="Y168" s="72"/>
      <c r="Z168" s="72"/>
      <c r="AA168" s="72"/>
      <c r="AB168" s="72"/>
      <c r="AC168" s="72">
        <f>N168*AG168*AF168</f>
        <v>570.42253521126759</v>
      </c>
      <c r="AD168" s="72">
        <f>$AC168*0.4089</f>
        <v>233.24577464788732</v>
      </c>
      <c r="AE168" s="72">
        <f>$AC168*0.0263</f>
        <v>15.002112676056338</v>
      </c>
      <c r="AF168" s="72">
        <v>6</v>
      </c>
      <c r="AG168" s="72">
        <v>1.5</v>
      </c>
      <c r="AI168" s="72"/>
      <c r="AJ168" s="72"/>
      <c r="AK168" s="72"/>
      <c r="AL168" s="72"/>
    </row>
    <row r="169" spans="1:38">
      <c r="A169" s="65">
        <v>168</v>
      </c>
      <c r="B169" s="149">
        <v>2007</v>
      </c>
      <c r="C169" s="66" t="s">
        <v>135</v>
      </c>
      <c r="D169" s="67" t="s">
        <v>105</v>
      </c>
      <c r="E169" s="67" t="s">
        <v>15</v>
      </c>
      <c r="F169" s="67" t="s">
        <v>35</v>
      </c>
      <c r="G169" s="67" t="s">
        <v>46</v>
      </c>
      <c r="H169" s="68">
        <v>39436</v>
      </c>
      <c r="I169" s="68"/>
      <c r="K169" s="70">
        <v>1.42</v>
      </c>
      <c r="L169" s="48">
        <v>70</v>
      </c>
      <c r="M169" s="48"/>
      <c r="N169" s="71">
        <f t="shared" si="7"/>
        <v>49.295774647887328</v>
      </c>
      <c r="O169" s="48" t="s">
        <v>5</v>
      </c>
      <c r="P169" s="72">
        <v>41.88</v>
      </c>
      <c r="Q169" s="72">
        <v>17.809999999999999</v>
      </c>
      <c r="R169" s="72">
        <v>0.4</v>
      </c>
      <c r="S169" s="72">
        <v>467.88</v>
      </c>
      <c r="T169" s="73">
        <v>11.17</v>
      </c>
      <c r="U169" s="72">
        <f>N169*1000*X169/100</f>
        <v>2519.0140845070428</v>
      </c>
      <c r="V169" s="72">
        <f>S169*U169/1000</f>
        <v>1178.5963098591551</v>
      </c>
      <c r="W169" s="72">
        <f>P169*U169/1000</f>
        <v>105.49630985915496</v>
      </c>
      <c r="X169" s="72">
        <v>5.1100000000000003</v>
      </c>
      <c r="Y169" s="72">
        <v>35</v>
      </c>
      <c r="Z169" s="73">
        <v>30</v>
      </c>
      <c r="AA169" s="73">
        <v>128</v>
      </c>
      <c r="AB169" s="73">
        <v>5</v>
      </c>
      <c r="AC169" s="72"/>
      <c r="AD169" s="72">
        <f>$N169*1000*$X169*0.01*$S169*0.001</f>
        <v>1178.5963098591553</v>
      </c>
      <c r="AE169" s="72">
        <f>$N169*1000*$X169*0.01*$P169*0.001</f>
        <v>105.49630985915496</v>
      </c>
      <c r="AF169" s="72"/>
      <c r="AG169" s="72"/>
      <c r="AH169" s="74"/>
      <c r="AI169" s="72"/>
      <c r="AJ169" s="72"/>
      <c r="AK169" s="72"/>
      <c r="AL169" s="72"/>
    </row>
    <row r="170" spans="1:38">
      <c r="A170" s="65">
        <v>169</v>
      </c>
      <c r="B170" s="149">
        <v>2007</v>
      </c>
      <c r="C170" s="79" t="s">
        <v>136</v>
      </c>
      <c r="D170" s="67" t="s">
        <v>105</v>
      </c>
      <c r="E170" s="67" t="s">
        <v>23</v>
      </c>
      <c r="F170" s="67" t="s">
        <v>27</v>
      </c>
      <c r="G170" s="67" t="s">
        <v>45</v>
      </c>
      <c r="H170" s="68">
        <v>39180</v>
      </c>
      <c r="I170" s="68">
        <v>39190</v>
      </c>
      <c r="J170" s="69">
        <v>1</v>
      </c>
      <c r="K170" s="70">
        <v>3.26</v>
      </c>
      <c r="L170" s="71">
        <v>150</v>
      </c>
      <c r="M170" s="71"/>
      <c r="N170" s="71">
        <f t="shared" si="7"/>
        <v>46.012269938650313</v>
      </c>
      <c r="O170" s="48" t="s">
        <v>64</v>
      </c>
      <c r="P170" s="72"/>
      <c r="Q170" s="72"/>
      <c r="R170" s="72"/>
      <c r="S170" s="72"/>
      <c r="T170" s="72"/>
      <c r="U170" s="72"/>
      <c r="V170" s="72"/>
      <c r="W170" s="72"/>
      <c r="X170" s="72"/>
      <c r="Y170" s="72"/>
      <c r="Z170" s="72"/>
      <c r="AA170" s="72"/>
      <c r="AB170" s="72"/>
      <c r="AC170" s="72">
        <f>N170*AG170*AF170</f>
        <v>690.18404907975469</v>
      </c>
      <c r="AD170" s="72">
        <f>$AC170*0.4089</f>
        <v>282.21625766871171</v>
      </c>
      <c r="AE170" s="72">
        <f>$AC170*0.0263</f>
        <v>18.15184049079755</v>
      </c>
      <c r="AF170" s="72">
        <v>10</v>
      </c>
      <c r="AG170" s="72">
        <v>1.5</v>
      </c>
      <c r="AI170" s="72"/>
      <c r="AJ170" s="72"/>
      <c r="AK170" s="72"/>
      <c r="AL170" s="72"/>
    </row>
    <row r="171" spans="1:38">
      <c r="A171" s="65">
        <v>170</v>
      </c>
      <c r="B171" s="149">
        <v>2007</v>
      </c>
      <c r="C171" s="79" t="s">
        <v>136</v>
      </c>
      <c r="D171" s="67" t="s">
        <v>105</v>
      </c>
      <c r="E171" s="67" t="s">
        <v>21</v>
      </c>
      <c r="F171" s="67" t="s">
        <v>36</v>
      </c>
      <c r="G171" s="67" t="s">
        <v>48</v>
      </c>
      <c r="H171" s="68">
        <v>39183</v>
      </c>
      <c r="I171" s="68"/>
      <c r="K171" s="70">
        <v>3.26</v>
      </c>
      <c r="L171" s="48">
        <v>20</v>
      </c>
      <c r="M171" s="48"/>
      <c r="N171" s="71">
        <f t="shared" si="7"/>
        <v>6.1349693251533743</v>
      </c>
      <c r="O171" s="48" t="s">
        <v>3</v>
      </c>
      <c r="P171" s="72"/>
      <c r="Q171" s="72"/>
      <c r="R171" s="72"/>
      <c r="S171" s="72"/>
      <c r="T171" s="72"/>
      <c r="U171" s="72"/>
      <c r="V171" s="72"/>
      <c r="W171" s="72"/>
      <c r="X171" s="72"/>
      <c r="Y171" s="72"/>
      <c r="Z171" s="72"/>
      <c r="AA171" s="72"/>
      <c r="AB171" s="72"/>
      <c r="AC171" s="72"/>
      <c r="AD171" s="72"/>
      <c r="AE171" s="72"/>
      <c r="AF171" s="72"/>
      <c r="AG171" s="72"/>
      <c r="AH171" s="74"/>
      <c r="AI171" s="72"/>
      <c r="AJ171" s="72"/>
      <c r="AK171" s="72"/>
      <c r="AL171" s="72"/>
    </row>
    <row r="172" spans="1:38">
      <c r="A172" s="65">
        <v>171</v>
      </c>
      <c r="B172" s="149">
        <v>2007</v>
      </c>
      <c r="C172" s="79" t="s">
        <v>136</v>
      </c>
      <c r="D172" s="67" t="s">
        <v>105</v>
      </c>
      <c r="E172" s="67" t="s">
        <v>23</v>
      </c>
      <c r="F172" s="67" t="s">
        <v>33</v>
      </c>
      <c r="G172" s="67" t="s">
        <v>34</v>
      </c>
      <c r="H172" s="68">
        <v>39188</v>
      </c>
      <c r="I172" s="68">
        <v>39189</v>
      </c>
      <c r="J172" s="69">
        <v>1</v>
      </c>
      <c r="K172" s="70">
        <v>3.26</v>
      </c>
      <c r="L172" s="48">
        <v>1</v>
      </c>
      <c r="M172" s="48"/>
      <c r="N172" s="71">
        <f t="shared" si="7"/>
        <v>0.30674846625766872</v>
      </c>
      <c r="O172" s="48" t="s">
        <v>65</v>
      </c>
      <c r="P172" s="72"/>
      <c r="Q172" s="72"/>
      <c r="R172" s="72"/>
      <c r="S172" s="72"/>
      <c r="T172" s="72"/>
      <c r="U172" s="72"/>
      <c r="V172" s="72"/>
      <c r="W172" s="72"/>
      <c r="X172" s="72">
        <v>37</v>
      </c>
      <c r="Y172" s="72"/>
      <c r="Z172" s="72"/>
      <c r="AA172" s="72"/>
      <c r="AB172" s="72"/>
      <c r="AC172" s="72">
        <f>N172*AG172*X172*0.01</f>
        <v>340.49079754601229</v>
      </c>
      <c r="AD172" s="72">
        <f>AC172*0.4089</f>
        <v>139.22668711656442</v>
      </c>
      <c r="AE172" s="72">
        <f>AC172*0.0263</f>
        <v>8.9549079754601237</v>
      </c>
      <c r="AF172" s="72"/>
      <c r="AG172" s="72">
        <v>3000</v>
      </c>
      <c r="AI172" s="72"/>
      <c r="AJ172" s="72"/>
      <c r="AK172" s="72"/>
      <c r="AL172" s="72"/>
    </row>
    <row r="173" spans="1:38">
      <c r="A173" s="65">
        <v>172</v>
      </c>
      <c r="B173" s="149">
        <v>2007</v>
      </c>
      <c r="C173" s="79" t="s">
        <v>136</v>
      </c>
      <c r="D173" s="67" t="s">
        <v>105</v>
      </c>
      <c r="E173" s="67" t="s">
        <v>21</v>
      </c>
      <c r="F173" s="67" t="s">
        <v>36</v>
      </c>
      <c r="G173" s="67" t="s">
        <v>48</v>
      </c>
      <c r="H173" s="68">
        <v>39191</v>
      </c>
      <c r="I173" s="68"/>
      <c r="K173" s="70">
        <v>3.26</v>
      </c>
      <c r="L173" s="48">
        <v>10</v>
      </c>
      <c r="M173" s="48"/>
      <c r="N173" s="71">
        <f t="shared" si="7"/>
        <v>3.0674846625766872</v>
      </c>
      <c r="O173" s="48" t="s">
        <v>3</v>
      </c>
      <c r="P173" s="72"/>
      <c r="Q173" s="72"/>
      <c r="R173" s="72"/>
      <c r="S173" s="72"/>
      <c r="T173" s="72"/>
      <c r="U173" s="72"/>
      <c r="V173" s="72"/>
      <c r="W173" s="72"/>
      <c r="X173" s="72"/>
      <c r="Y173" s="72"/>
      <c r="Z173" s="72"/>
      <c r="AA173" s="72"/>
      <c r="AB173" s="72"/>
      <c r="AC173" s="72"/>
      <c r="AD173" s="72"/>
      <c r="AE173" s="72"/>
      <c r="AF173" s="72"/>
      <c r="AG173" s="72"/>
      <c r="AH173" s="74"/>
      <c r="AI173" s="72"/>
      <c r="AJ173" s="72"/>
      <c r="AK173" s="72"/>
      <c r="AL173" s="72"/>
    </row>
    <row r="174" spans="1:38">
      <c r="A174" s="65">
        <v>173</v>
      </c>
      <c r="B174" s="149">
        <v>2007</v>
      </c>
      <c r="C174" s="79" t="s">
        <v>136</v>
      </c>
      <c r="D174" s="67" t="s">
        <v>105</v>
      </c>
      <c r="E174" s="67" t="s">
        <v>23</v>
      </c>
      <c r="F174" s="67" t="s">
        <v>33</v>
      </c>
      <c r="G174" s="67" t="s">
        <v>34</v>
      </c>
      <c r="H174" s="68">
        <v>39224</v>
      </c>
      <c r="I174" s="68">
        <v>39225</v>
      </c>
      <c r="J174" s="69">
        <v>2</v>
      </c>
      <c r="K174" s="70">
        <v>3.26</v>
      </c>
      <c r="L174" s="48">
        <v>4</v>
      </c>
      <c r="M174" s="48"/>
      <c r="N174" s="71">
        <f t="shared" si="7"/>
        <v>1.2269938650306749</v>
      </c>
      <c r="O174" s="48" t="s">
        <v>65</v>
      </c>
      <c r="P174" s="72"/>
      <c r="Q174" s="72"/>
      <c r="R174" s="72"/>
      <c r="S174" s="72"/>
      <c r="T174" s="72"/>
      <c r="U174" s="72"/>
      <c r="V174" s="72"/>
      <c r="W174" s="72"/>
      <c r="X174" s="72">
        <v>37</v>
      </c>
      <c r="Y174" s="72"/>
      <c r="Z174" s="72"/>
      <c r="AA174" s="72"/>
      <c r="AB174" s="72"/>
      <c r="AC174" s="72">
        <f>N174*AG174*X174*0.01</f>
        <v>1361.9631901840492</v>
      </c>
      <c r="AD174" s="72">
        <f>AC174*0.4089</f>
        <v>556.90674846625768</v>
      </c>
      <c r="AE174" s="72">
        <f>AC174*0.0263</f>
        <v>35.819631901840495</v>
      </c>
      <c r="AF174" s="72"/>
      <c r="AG174" s="72">
        <v>3000</v>
      </c>
      <c r="AI174" s="72"/>
      <c r="AJ174" s="72"/>
      <c r="AK174" s="72"/>
      <c r="AL174" s="72"/>
    </row>
    <row r="175" spans="1:38">
      <c r="A175" s="65">
        <v>174</v>
      </c>
      <c r="B175" s="149">
        <v>2007</v>
      </c>
      <c r="C175" s="79" t="s">
        <v>136</v>
      </c>
      <c r="D175" s="67" t="s">
        <v>105</v>
      </c>
      <c r="E175" s="67" t="s">
        <v>15</v>
      </c>
      <c r="F175" s="67" t="s">
        <v>35</v>
      </c>
      <c r="G175" s="67" t="s">
        <v>46</v>
      </c>
      <c r="H175" s="68">
        <v>39233</v>
      </c>
      <c r="I175" s="68"/>
      <c r="K175" s="70">
        <v>3.26</v>
      </c>
      <c r="L175" s="48">
        <v>90</v>
      </c>
      <c r="M175" s="48"/>
      <c r="N175" s="71">
        <f t="shared" si="7"/>
        <v>27.607361963190186</v>
      </c>
      <c r="O175" s="48" t="s">
        <v>5</v>
      </c>
      <c r="P175" s="72">
        <v>34.61</v>
      </c>
      <c r="Q175" s="72">
        <v>16.77</v>
      </c>
      <c r="R175" s="72" t="s">
        <v>60</v>
      </c>
      <c r="S175" s="72">
        <v>477.74</v>
      </c>
      <c r="T175" s="73">
        <v>13.8</v>
      </c>
      <c r="U175" s="72">
        <f>N175*1000*X175/100</f>
        <v>1300.3067484662577</v>
      </c>
      <c r="V175" s="72">
        <f>S175*U175/1000</f>
        <v>621.20854601226995</v>
      </c>
      <c r="W175" s="72">
        <f>P175*U175/1000</f>
        <v>45.003616564417179</v>
      </c>
      <c r="X175" s="72">
        <v>4.71</v>
      </c>
      <c r="Y175" s="72">
        <v>19.325153374233128</v>
      </c>
      <c r="Z175" s="73">
        <v>16.564417177914113</v>
      </c>
      <c r="AA175" s="73">
        <v>71.779141104294482</v>
      </c>
      <c r="AB175" s="73">
        <v>2.7607361963190185</v>
      </c>
      <c r="AC175" s="72"/>
      <c r="AD175" s="72">
        <f>$N175*1000*$X175*0.01*$S175*0.001</f>
        <v>621.20854601226995</v>
      </c>
      <c r="AE175" s="72">
        <f>$N175*1000*$X175*0.01*$P175*0.001</f>
        <v>45.003616564417179</v>
      </c>
      <c r="AF175" s="72"/>
      <c r="AG175" s="72"/>
      <c r="AH175" s="74"/>
      <c r="AI175" s="72"/>
      <c r="AJ175" s="72"/>
      <c r="AK175" s="72"/>
      <c r="AL175" s="72"/>
    </row>
    <row r="176" spans="1:38">
      <c r="A176" s="65">
        <v>175</v>
      </c>
      <c r="B176" s="149">
        <v>2007</v>
      </c>
      <c r="C176" s="79" t="s">
        <v>136</v>
      </c>
      <c r="D176" s="67" t="s">
        <v>105</v>
      </c>
      <c r="E176" s="67" t="s">
        <v>23</v>
      </c>
      <c r="F176" s="67" t="s">
        <v>33</v>
      </c>
      <c r="G176" s="78" t="s">
        <v>41</v>
      </c>
      <c r="H176" s="68">
        <v>39262</v>
      </c>
      <c r="I176" s="68">
        <v>39263</v>
      </c>
      <c r="J176" s="69">
        <v>3</v>
      </c>
      <c r="K176" s="70">
        <v>3.26</v>
      </c>
      <c r="L176" s="48">
        <v>6</v>
      </c>
      <c r="M176" s="48"/>
      <c r="N176" s="71">
        <f t="shared" si="7"/>
        <v>1.8404907975460123</v>
      </c>
      <c r="O176" s="48" t="s">
        <v>65</v>
      </c>
      <c r="P176" s="72"/>
      <c r="Q176" s="72"/>
      <c r="R176" s="72"/>
      <c r="S176" s="72"/>
      <c r="T176" s="72"/>
      <c r="U176" s="72"/>
      <c r="V176" s="72"/>
      <c r="W176" s="72"/>
      <c r="X176" s="72">
        <v>70</v>
      </c>
      <c r="Y176" s="72"/>
      <c r="Z176" s="72"/>
      <c r="AA176" s="72"/>
      <c r="AB176" s="72"/>
      <c r="AC176" s="72">
        <f>N176*AG176*X176*0.01</f>
        <v>1932.515337423313</v>
      </c>
      <c r="AD176" s="72">
        <f>AC176*0.4089</f>
        <v>790.20552147239266</v>
      </c>
      <c r="AE176" s="72">
        <f>AC176*0.0263</f>
        <v>50.825153374233132</v>
      </c>
      <c r="AF176" s="72"/>
      <c r="AG176" s="72">
        <v>1500</v>
      </c>
      <c r="AI176" s="72"/>
      <c r="AJ176" s="72"/>
      <c r="AK176" s="72"/>
      <c r="AL176" s="72"/>
    </row>
    <row r="177" spans="1:38">
      <c r="A177" s="65">
        <v>176</v>
      </c>
      <c r="B177" s="149">
        <v>2007</v>
      </c>
      <c r="C177" s="79" t="s">
        <v>136</v>
      </c>
      <c r="D177" s="67" t="s">
        <v>105</v>
      </c>
      <c r="E177" s="67" t="s">
        <v>15</v>
      </c>
      <c r="F177" s="67" t="s">
        <v>35</v>
      </c>
      <c r="G177" s="67" t="s">
        <v>46</v>
      </c>
      <c r="H177" s="68">
        <v>39269</v>
      </c>
      <c r="I177" s="68"/>
      <c r="K177" s="70">
        <v>3.26</v>
      </c>
      <c r="L177" s="48">
        <v>130</v>
      </c>
      <c r="M177" s="48"/>
      <c r="N177" s="71">
        <f t="shared" si="7"/>
        <v>39.877300613496935</v>
      </c>
      <c r="O177" s="48" t="s">
        <v>5</v>
      </c>
      <c r="P177" s="72">
        <v>49.32</v>
      </c>
      <c r="Q177" s="72">
        <v>18.899999999999999</v>
      </c>
      <c r="R177" s="76" t="s">
        <v>60</v>
      </c>
      <c r="S177" s="72">
        <v>465.33</v>
      </c>
      <c r="T177" s="73">
        <v>9.44</v>
      </c>
      <c r="U177" s="72">
        <f>N177*1000*X177/100</f>
        <v>1455.5214723926381</v>
      </c>
      <c r="V177" s="72">
        <f>S177*U177/1000</f>
        <v>677.2978067484662</v>
      </c>
      <c r="W177" s="72">
        <f>P177*U177/1000</f>
        <v>71.78631901840491</v>
      </c>
      <c r="X177" s="72">
        <v>3.65</v>
      </c>
      <c r="Y177" s="72">
        <v>27.914110429447856</v>
      </c>
      <c r="Z177" s="73">
        <v>23.926380368098162</v>
      </c>
      <c r="AA177" s="73">
        <v>103.68098159509204</v>
      </c>
      <c r="AB177" s="73">
        <v>3.9877300613496933</v>
      </c>
      <c r="AC177" s="72"/>
      <c r="AD177" s="72">
        <f>$N177*1000*$X177*0.01*$S177*0.001</f>
        <v>677.2978067484662</v>
      </c>
      <c r="AE177" s="72">
        <f>$N177*1000*$X177*0.01*$P177*0.001</f>
        <v>71.786319018404924</v>
      </c>
      <c r="AF177" s="72"/>
      <c r="AG177" s="72"/>
      <c r="AH177" s="74"/>
      <c r="AI177" s="72"/>
      <c r="AJ177" s="72"/>
      <c r="AK177" s="72"/>
      <c r="AL177" s="72"/>
    </row>
    <row r="178" spans="1:38">
      <c r="A178" s="65">
        <v>177</v>
      </c>
      <c r="B178" s="149">
        <v>2007</v>
      </c>
      <c r="C178" s="79" t="s">
        <v>136</v>
      </c>
      <c r="D178" s="67" t="s">
        <v>105</v>
      </c>
      <c r="E178" s="67" t="s">
        <v>23</v>
      </c>
      <c r="F178" s="67" t="s">
        <v>33</v>
      </c>
      <c r="G178" s="67" t="s">
        <v>34</v>
      </c>
      <c r="H178" s="68">
        <v>39294</v>
      </c>
      <c r="I178" s="68">
        <v>39295</v>
      </c>
      <c r="J178" s="69">
        <v>4</v>
      </c>
      <c r="K178" s="70">
        <v>3.26</v>
      </c>
      <c r="L178" s="48">
        <v>2</v>
      </c>
      <c r="M178" s="48"/>
      <c r="N178" s="71">
        <f t="shared" si="7"/>
        <v>0.61349693251533743</v>
      </c>
      <c r="O178" s="48" t="s">
        <v>65</v>
      </c>
      <c r="P178" s="72"/>
      <c r="Q178" s="72"/>
      <c r="R178" s="72"/>
      <c r="S178" s="72"/>
      <c r="T178" s="72"/>
      <c r="U178" s="72"/>
      <c r="V178" s="72"/>
      <c r="W178" s="72"/>
      <c r="X178" s="72">
        <v>37</v>
      </c>
      <c r="Y178" s="72"/>
      <c r="Z178" s="72"/>
      <c r="AA178" s="72"/>
      <c r="AB178" s="72"/>
      <c r="AC178" s="72">
        <f>N178*AG178*X178*0.01</f>
        <v>680.98159509202458</v>
      </c>
      <c r="AD178" s="72">
        <f>AC178*0.4089</f>
        <v>278.45337423312884</v>
      </c>
      <c r="AE178" s="72">
        <f>AC178*0.0263</f>
        <v>17.909815950920247</v>
      </c>
      <c r="AF178" s="72"/>
      <c r="AG178" s="72">
        <v>3000</v>
      </c>
      <c r="AI178" s="72"/>
      <c r="AJ178" s="72"/>
      <c r="AK178" s="72"/>
      <c r="AL178" s="72"/>
    </row>
    <row r="179" spans="1:38">
      <c r="A179" s="65">
        <v>178</v>
      </c>
      <c r="B179" s="149">
        <v>2007</v>
      </c>
      <c r="C179" s="79" t="s">
        <v>136</v>
      </c>
      <c r="D179" s="67" t="s">
        <v>105</v>
      </c>
      <c r="E179" s="67" t="s">
        <v>15</v>
      </c>
      <c r="F179" s="67" t="s">
        <v>35</v>
      </c>
      <c r="G179" s="75" t="s">
        <v>46</v>
      </c>
      <c r="H179" s="68">
        <v>39297</v>
      </c>
      <c r="I179" s="68"/>
      <c r="K179" s="70">
        <v>3.26</v>
      </c>
      <c r="L179" s="48">
        <v>100</v>
      </c>
      <c r="M179" s="48"/>
      <c r="N179" s="71">
        <f t="shared" si="7"/>
        <v>30.674846625766872</v>
      </c>
      <c r="O179" s="48" t="s">
        <v>5</v>
      </c>
      <c r="P179" s="72">
        <v>55.43</v>
      </c>
      <c r="Q179" s="72">
        <v>21.41</v>
      </c>
      <c r="R179" s="76" t="s">
        <v>60</v>
      </c>
      <c r="S179" s="72">
        <v>457.68</v>
      </c>
      <c r="T179" s="73">
        <v>8.26</v>
      </c>
      <c r="U179" s="72">
        <f>N179*1000*X179/100</f>
        <v>1046.0122699386504</v>
      </c>
      <c r="V179" s="72">
        <f>S179*U179/1000</f>
        <v>478.73889570552149</v>
      </c>
      <c r="W179" s="72">
        <f>P179*U179/1000</f>
        <v>57.980460122699391</v>
      </c>
      <c r="X179" s="72">
        <v>3.41</v>
      </c>
      <c r="Y179" s="72">
        <v>21.472392638036812</v>
      </c>
      <c r="Z179" s="73">
        <v>18.404907975460123</v>
      </c>
      <c r="AA179" s="73">
        <v>79.75460122699387</v>
      </c>
      <c r="AB179" s="73">
        <v>3.0674846625766872</v>
      </c>
      <c r="AC179" s="72"/>
      <c r="AD179" s="72">
        <f>$N179*1000*$X179*0.01*$S179*0.001</f>
        <v>478.73889570552154</v>
      </c>
      <c r="AE179" s="72">
        <f>$N179*1000*$X179*0.01*$P179*0.001</f>
        <v>57.980460122699391</v>
      </c>
      <c r="AF179" s="72"/>
      <c r="AG179" s="72"/>
      <c r="AH179" s="74"/>
      <c r="AI179" s="72"/>
      <c r="AJ179" s="72"/>
      <c r="AK179" s="72"/>
      <c r="AL179" s="72"/>
    </row>
    <row r="180" spans="1:38">
      <c r="A180" s="65">
        <v>179</v>
      </c>
      <c r="B180" s="149">
        <v>2007</v>
      </c>
      <c r="C180" s="79" t="s">
        <v>136</v>
      </c>
      <c r="D180" s="67" t="s">
        <v>105</v>
      </c>
      <c r="E180" s="67" t="s">
        <v>23</v>
      </c>
      <c r="F180" s="67" t="s">
        <v>33</v>
      </c>
      <c r="G180" s="67" t="s">
        <v>34</v>
      </c>
      <c r="H180" s="68">
        <v>39321</v>
      </c>
      <c r="I180" s="68">
        <v>39322</v>
      </c>
      <c r="J180" s="69">
        <v>5</v>
      </c>
      <c r="K180" s="70">
        <v>3.26</v>
      </c>
      <c r="L180" s="48">
        <v>8</v>
      </c>
      <c r="M180" s="48"/>
      <c r="N180" s="71">
        <f t="shared" si="7"/>
        <v>2.4539877300613497</v>
      </c>
      <c r="O180" s="83" t="s">
        <v>68</v>
      </c>
      <c r="P180" s="72"/>
      <c r="Q180" s="72"/>
      <c r="R180" s="72"/>
      <c r="S180" s="72"/>
      <c r="T180" s="72"/>
      <c r="U180" s="72"/>
      <c r="V180" s="72"/>
      <c r="W180" s="72"/>
      <c r="X180" s="72">
        <v>37</v>
      </c>
      <c r="Y180" s="72"/>
      <c r="Z180" s="72"/>
      <c r="AA180" s="72"/>
      <c r="AB180" s="72"/>
      <c r="AC180" s="72">
        <f>N180*AG180*X180*0.01</f>
        <v>558.40490797546011</v>
      </c>
      <c r="AD180" s="72">
        <f>AC180*0.4089</f>
        <v>228.33176687116563</v>
      </c>
      <c r="AE180" s="72">
        <f>AC180*0.0263</f>
        <v>14.686049079754602</v>
      </c>
      <c r="AF180" s="72"/>
      <c r="AG180" s="72">
        <v>615</v>
      </c>
      <c r="AI180" s="72"/>
      <c r="AJ180" s="72"/>
      <c r="AK180" s="72"/>
      <c r="AL180" s="72"/>
    </row>
    <row r="181" spans="1:38">
      <c r="A181" s="65">
        <v>180</v>
      </c>
      <c r="B181" s="149">
        <v>2007</v>
      </c>
      <c r="C181" s="79" t="s">
        <v>136</v>
      </c>
      <c r="D181" s="67" t="s">
        <v>105</v>
      </c>
      <c r="E181" s="67" t="s">
        <v>23</v>
      </c>
      <c r="F181" s="67" t="s">
        <v>33</v>
      </c>
      <c r="G181" s="67" t="s">
        <v>34</v>
      </c>
      <c r="H181" s="68">
        <v>39342</v>
      </c>
      <c r="I181" s="68">
        <v>39343</v>
      </c>
      <c r="J181" s="69">
        <v>6</v>
      </c>
      <c r="K181" s="70">
        <v>3.26</v>
      </c>
      <c r="L181" s="48">
        <v>2</v>
      </c>
      <c r="M181" s="48"/>
      <c r="N181" s="71">
        <f t="shared" si="7"/>
        <v>0.61349693251533743</v>
      </c>
      <c r="O181" s="48" t="s">
        <v>65</v>
      </c>
      <c r="P181" s="72"/>
      <c r="Q181" s="72"/>
      <c r="R181" s="72"/>
      <c r="S181" s="72"/>
      <c r="T181" s="72"/>
      <c r="U181" s="72"/>
      <c r="V181" s="72"/>
      <c r="W181" s="72"/>
      <c r="X181" s="72">
        <v>37</v>
      </c>
      <c r="Y181" s="72"/>
      <c r="Z181" s="72"/>
      <c r="AA181" s="72"/>
      <c r="AB181" s="72"/>
      <c r="AC181" s="72">
        <f>N181*AG181*X181*0.01</f>
        <v>680.98159509202458</v>
      </c>
      <c r="AD181" s="72">
        <f>AC181*0.4089</f>
        <v>278.45337423312884</v>
      </c>
      <c r="AE181" s="72">
        <f>AC181*0.0263</f>
        <v>17.909815950920247</v>
      </c>
      <c r="AF181" s="72"/>
      <c r="AG181" s="72">
        <v>3000</v>
      </c>
      <c r="AI181" s="72"/>
      <c r="AJ181" s="72"/>
      <c r="AK181" s="72"/>
      <c r="AL181" s="72"/>
    </row>
    <row r="182" spans="1:38">
      <c r="A182" s="65">
        <v>181</v>
      </c>
      <c r="B182" s="149">
        <v>2007</v>
      </c>
      <c r="C182" s="79" t="s">
        <v>136</v>
      </c>
      <c r="D182" s="67" t="s">
        <v>105</v>
      </c>
      <c r="E182" s="67" t="s">
        <v>23</v>
      </c>
      <c r="F182" s="67" t="s">
        <v>33</v>
      </c>
      <c r="G182" s="67" t="s">
        <v>34</v>
      </c>
      <c r="H182" s="68">
        <v>39363</v>
      </c>
      <c r="I182" s="68">
        <v>39365</v>
      </c>
      <c r="J182" s="69">
        <v>7</v>
      </c>
      <c r="K182" s="70">
        <v>3.26</v>
      </c>
      <c r="L182" s="48">
        <v>11</v>
      </c>
      <c r="M182" s="48"/>
      <c r="N182" s="71">
        <f t="shared" si="7"/>
        <v>3.3742331288343559</v>
      </c>
      <c r="O182" s="83" t="s">
        <v>68</v>
      </c>
      <c r="P182" s="72"/>
      <c r="Q182" s="72"/>
      <c r="R182" s="72"/>
      <c r="S182" s="72"/>
      <c r="T182" s="72"/>
      <c r="U182" s="72"/>
      <c r="V182" s="72"/>
      <c r="W182" s="72"/>
      <c r="X182" s="72">
        <v>37</v>
      </c>
      <c r="Y182" s="72"/>
      <c r="Z182" s="72"/>
      <c r="AA182" s="72"/>
      <c r="AB182" s="72"/>
      <c r="AC182" s="72">
        <f>N182*AG182*X182*0.01</f>
        <v>767.80674846625777</v>
      </c>
      <c r="AD182" s="72">
        <f>AC182*0.4089</f>
        <v>313.95617944785278</v>
      </c>
      <c r="AE182" s="72">
        <f>AC182*0.0263</f>
        <v>20.193317484662579</v>
      </c>
      <c r="AF182" s="72"/>
      <c r="AG182" s="72">
        <v>615</v>
      </c>
      <c r="AI182" s="72"/>
      <c r="AJ182" s="72"/>
      <c r="AK182" s="72"/>
      <c r="AL182" s="72"/>
    </row>
    <row r="183" spans="1:38">
      <c r="A183" s="65">
        <v>182</v>
      </c>
      <c r="B183" s="149">
        <v>2007</v>
      </c>
      <c r="C183" s="79" t="s">
        <v>136</v>
      </c>
      <c r="D183" s="67" t="s">
        <v>105</v>
      </c>
      <c r="E183" s="67" t="s">
        <v>15</v>
      </c>
      <c r="F183" s="67" t="s">
        <v>35</v>
      </c>
      <c r="G183" s="67" t="s">
        <v>46</v>
      </c>
      <c r="H183" s="68">
        <v>39366</v>
      </c>
      <c r="I183" s="68"/>
      <c r="K183" s="70">
        <v>3.26</v>
      </c>
      <c r="L183" s="48">
        <v>60</v>
      </c>
      <c r="M183" s="48"/>
      <c r="N183" s="71">
        <f t="shared" si="7"/>
        <v>18.404907975460123</v>
      </c>
      <c r="O183" s="48" t="s">
        <v>5</v>
      </c>
      <c r="P183" s="72">
        <v>27.63</v>
      </c>
      <c r="Q183" s="72">
        <v>19.47</v>
      </c>
      <c r="R183" s="72" t="s">
        <v>60</v>
      </c>
      <c r="S183" s="72">
        <v>464.93</v>
      </c>
      <c r="T183" s="73">
        <v>16.829999999999998</v>
      </c>
      <c r="U183" s="72">
        <f>N183*1000*X183/100</f>
        <v>699.38650306748457</v>
      </c>
      <c r="V183" s="72">
        <f>S183*U183/1000</f>
        <v>325.1657668711656</v>
      </c>
      <c r="W183" s="72">
        <f>P183*U183/1000</f>
        <v>19.324049079754598</v>
      </c>
      <c r="X183" s="72">
        <v>3.8</v>
      </c>
      <c r="Y183" s="72">
        <v>9.2024539877300615</v>
      </c>
      <c r="Z183" s="73">
        <v>8.2822085889570563</v>
      </c>
      <c r="AA183" s="73">
        <v>36.809815950920246</v>
      </c>
      <c r="AB183" s="73">
        <v>1.8404907975460123</v>
      </c>
      <c r="AC183" s="72"/>
      <c r="AD183" s="72">
        <f>$N183*1000*$X183*0.01*$S183*0.001</f>
        <v>325.1657668711656</v>
      </c>
      <c r="AE183" s="72">
        <f>$N183*1000*$X183*0.01*$P183*0.001</f>
        <v>19.324049079754598</v>
      </c>
      <c r="AF183" s="72"/>
      <c r="AG183" s="72"/>
      <c r="AH183" s="74"/>
      <c r="AI183" s="72"/>
      <c r="AJ183" s="72"/>
      <c r="AK183" s="72"/>
      <c r="AL183" s="72"/>
    </row>
    <row r="184" spans="1:38">
      <c r="A184" s="65">
        <v>183</v>
      </c>
      <c r="B184" s="149">
        <v>2007</v>
      </c>
      <c r="C184" s="79" t="s">
        <v>136</v>
      </c>
      <c r="D184" s="67" t="s">
        <v>105</v>
      </c>
      <c r="E184" s="67" t="s">
        <v>23</v>
      </c>
      <c r="F184" s="67" t="s">
        <v>27</v>
      </c>
      <c r="G184" s="67" t="s">
        <v>45</v>
      </c>
      <c r="H184" s="68">
        <v>39382</v>
      </c>
      <c r="I184" s="68">
        <v>39392</v>
      </c>
      <c r="J184" s="69">
        <v>8</v>
      </c>
      <c r="K184" s="70">
        <v>3.26</v>
      </c>
      <c r="L184" s="71">
        <v>90</v>
      </c>
      <c r="M184" s="71"/>
      <c r="N184" s="71">
        <f t="shared" si="7"/>
        <v>27.607361963190186</v>
      </c>
      <c r="O184" s="48" t="s">
        <v>64</v>
      </c>
      <c r="P184" s="72"/>
      <c r="Q184" s="72"/>
      <c r="R184" s="72"/>
      <c r="S184" s="72"/>
      <c r="T184" s="72"/>
      <c r="U184" s="72"/>
      <c r="V184" s="72"/>
      <c r="W184" s="72"/>
      <c r="X184" s="72"/>
      <c r="Y184" s="72"/>
      <c r="Z184" s="72"/>
      <c r="AA184" s="72"/>
      <c r="AB184" s="72"/>
      <c r="AC184" s="72">
        <f>N184*AG184*AF184</f>
        <v>414.11042944785277</v>
      </c>
      <c r="AD184" s="72">
        <f>$AC184*0.4089</f>
        <v>169.32975460122699</v>
      </c>
      <c r="AE184" s="72">
        <f>$AC184*0.0263</f>
        <v>10.891104294478527</v>
      </c>
      <c r="AF184" s="72">
        <v>10</v>
      </c>
      <c r="AG184" s="72">
        <v>1.5</v>
      </c>
      <c r="AI184" s="72"/>
      <c r="AJ184" s="72"/>
      <c r="AK184" s="72"/>
      <c r="AL184" s="72"/>
    </row>
    <row r="185" spans="1:38">
      <c r="A185" s="65">
        <v>184</v>
      </c>
      <c r="B185" s="149">
        <v>2007</v>
      </c>
      <c r="C185" s="79" t="s">
        <v>136</v>
      </c>
      <c r="D185" s="67" t="s">
        <v>105</v>
      </c>
      <c r="E185" s="67" t="s">
        <v>15</v>
      </c>
      <c r="F185" s="67" t="s">
        <v>35</v>
      </c>
      <c r="G185" s="67" t="s">
        <v>46</v>
      </c>
      <c r="H185" s="68">
        <v>39436</v>
      </c>
      <c r="I185" s="68"/>
      <c r="K185" s="70">
        <v>3.26</v>
      </c>
      <c r="L185" s="48">
        <v>160</v>
      </c>
      <c r="M185" s="48"/>
      <c r="N185" s="71">
        <f t="shared" si="7"/>
        <v>49.079754601226995</v>
      </c>
      <c r="O185" s="48" t="s">
        <v>5</v>
      </c>
      <c r="P185" s="72">
        <v>48.36</v>
      </c>
      <c r="Q185" s="72">
        <v>16.12</v>
      </c>
      <c r="R185" s="72">
        <v>1.19</v>
      </c>
      <c r="S185" s="72">
        <v>476.12</v>
      </c>
      <c r="T185" s="73">
        <v>9.85</v>
      </c>
      <c r="U185" s="72">
        <f>N185*1000*X185/100</f>
        <v>1644.1717791411045</v>
      </c>
      <c r="V185" s="72">
        <f>S185*U185/1000</f>
        <v>782.8230674846626</v>
      </c>
      <c r="W185" s="72">
        <f>P185*U185/1000</f>
        <v>79.512147239263811</v>
      </c>
      <c r="X185" s="72">
        <v>3.35</v>
      </c>
      <c r="Y185" s="72">
        <v>34.355828220858896</v>
      </c>
      <c r="Z185" s="73">
        <v>29.447852760736197</v>
      </c>
      <c r="AA185" s="73">
        <v>127.60736196319019</v>
      </c>
      <c r="AB185" s="73">
        <v>4.9079754601226995</v>
      </c>
      <c r="AC185" s="72"/>
      <c r="AD185" s="72">
        <f>$N185*1000*$X185*0.01*$S185*0.001</f>
        <v>782.8230674846626</v>
      </c>
      <c r="AE185" s="72">
        <f>$N185*1000*$X185*0.01*$P185*0.001</f>
        <v>79.512147239263811</v>
      </c>
      <c r="AF185" s="72"/>
      <c r="AG185" s="72"/>
      <c r="AH185" s="74"/>
      <c r="AI185" s="72"/>
      <c r="AJ185" s="72"/>
      <c r="AK185" s="72"/>
      <c r="AL185" s="72"/>
    </row>
    <row r="186" spans="1:38">
      <c r="A186" s="65">
        <v>185</v>
      </c>
      <c r="B186" s="150">
        <v>2008</v>
      </c>
      <c r="C186" s="66" t="s">
        <v>135</v>
      </c>
      <c r="D186" s="67" t="s">
        <v>105</v>
      </c>
      <c r="E186" s="67" t="s">
        <v>15</v>
      </c>
      <c r="F186" s="67" t="s">
        <v>35</v>
      </c>
      <c r="G186" s="67" t="s">
        <v>46</v>
      </c>
      <c r="H186" s="68">
        <v>39526</v>
      </c>
      <c r="I186" s="68"/>
      <c r="K186" s="70">
        <v>1.42</v>
      </c>
      <c r="L186" s="48">
        <v>50</v>
      </c>
      <c r="M186" s="48"/>
      <c r="N186" s="71">
        <f t="shared" si="7"/>
        <v>35.211267605633807</v>
      </c>
      <c r="O186" s="48" t="s">
        <v>5</v>
      </c>
      <c r="P186" s="72">
        <v>65.739999999999995</v>
      </c>
      <c r="Q186" s="72">
        <v>28.29</v>
      </c>
      <c r="R186" s="72" t="s">
        <v>60</v>
      </c>
      <c r="S186" s="72">
        <v>413.57</v>
      </c>
      <c r="T186" s="73">
        <v>6.29</v>
      </c>
      <c r="U186" s="72">
        <f>N186*1000*X186/100</f>
        <v>883.80281690140851</v>
      </c>
      <c r="V186" s="72">
        <f>S186*U186/1000</f>
        <v>365.51433098591548</v>
      </c>
      <c r="W186" s="72">
        <f>P186*U186/1000</f>
        <v>58.101197183098591</v>
      </c>
      <c r="X186" s="72">
        <v>2.5099999999999998</v>
      </c>
      <c r="Y186" s="72">
        <v>39</v>
      </c>
      <c r="Z186" s="73">
        <v>23</v>
      </c>
      <c r="AA186" s="73">
        <v>70</v>
      </c>
      <c r="AB186" s="73">
        <v>4</v>
      </c>
      <c r="AC186" s="72"/>
      <c r="AD186" s="72">
        <f>$N186*1000*$X186*0.01*$S186*0.001</f>
        <v>365.51433098591548</v>
      </c>
      <c r="AE186" s="72">
        <f>$N186*1000*$X186*0.01*$P186*0.001</f>
        <v>58.101197183098591</v>
      </c>
      <c r="AF186" s="72"/>
      <c r="AG186" s="72"/>
      <c r="AH186" s="74"/>
      <c r="AI186" s="72"/>
      <c r="AJ186" s="72"/>
      <c r="AK186" s="72"/>
      <c r="AL186" s="72"/>
    </row>
    <row r="187" spans="1:38">
      <c r="A187" s="65">
        <v>186</v>
      </c>
      <c r="B187" s="150">
        <v>2008</v>
      </c>
      <c r="C187" s="66" t="s">
        <v>135</v>
      </c>
      <c r="D187" s="67" t="s">
        <v>105</v>
      </c>
      <c r="E187" s="67" t="s">
        <v>23</v>
      </c>
      <c r="F187" s="67" t="s">
        <v>33</v>
      </c>
      <c r="G187" s="67" t="s">
        <v>34</v>
      </c>
      <c r="H187" s="68">
        <v>39575</v>
      </c>
      <c r="I187" s="68">
        <v>39576</v>
      </c>
      <c r="J187" s="69">
        <v>1</v>
      </c>
      <c r="K187" s="70">
        <v>1.42</v>
      </c>
      <c r="L187" s="48">
        <v>6</v>
      </c>
      <c r="M187" s="48"/>
      <c r="N187" s="71">
        <f t="shared" si="7"/>
        <v>4.2253521126760569</v>
      </c>
      <c r="O187" s="48" t="s">
        <v>65</v>
      </c>
      <c r="P187" s="72"/>
      <c r="Q187" s="72"/>
      <c r="R187" s="72">
        <v>1.24</v>
      </c>
      <c r="S187" s="72"/>
      <c r="T187" s="72"/>
      <c r="U187" s="72"/>
      <c r="V187" s="72"/>
      <c r="W187" s="72"/>
      <c r="X187" s="72">
        <v>37</v>
      </c>
      <c r="Y187" s="72"/>
      <c r="Z187" s="72"/>
      <c r="AA187" s="72"/>
      <c r="AB187" s="72"/>
      <c r="AC187" s="72">
        <f>N187*AG187*X187*0.01</f>
        <v>4690.140845070423</v>
      </c>
      <c r="AD187" s="72">
        <f>AC187*0.4089</f>
        <v>1917.7985915492959</v>
      </c>
      <c r="AE187" s="72">
        <f>AC187*0.0263</f>
        <v>123.35070422535213</v>
      </c>
      <c r="AF187" s="72"/>
      <c r="AG187" s="72">
        <v>3000</v>
      </c>
      <c r="AI187" s="72"/>
      <c r="AJ187" s="72"/>
      <c r="AK187" s="72"/>
      <c r="AL187" s="72"/>
    </row>
    <row r="188" spans="1:38">
      <c r="A188" s="65">
        <v>187</v>
      </c>
      <c r="B188" s="150">
        <v>2008</v>
      </c>
      <c r="C188" s="66" t="s">
        <v>135</v>
      </c>
      <c r="D188" s="67" t="s">
        <v>105</v>
      </c>
      <c r="E188" s="67" t="s">
        <v>15</v>
      </c>
      <c r="F188" s="67" t="s">
        <v>35</v>
      </c>
      <c r="G188" s="67" t="s">
        <v>46</v>
      </c>
      <c r="H188" s="68">
        <v>39585</v>
      </c>
      <c r="I188" s="68"/>
      <c r="K188" s="70">
        <v>1.42</v>
      </c>
      <c r="L188" s="48">
        <v>50</v>
      </c>
      <c r="M188" s="48"/>
      <c r="N188" s="71">
        <f t="shared" si="7"/>
        <v>35.211267605633807</v>
      </c>
      <c r="O188" s="48" t="s">
        <v>5</v>
      </c>
      <c r="P188" s="72">
        <v>79.11</v>
      </c>
      <c r="Q188" s="72">
        <v>33.78</v>
      </c>
      <c r="R188" s="72" t="s">
        <v>60</v>
      </c>
      <c r="S188" s="72">
        <v>392.23</v>
      </c>
      <c r="T188" s="73">
        <v>4.96</v>
      </c>
      <c r="U188" s="72">
        <f>N188*1000*X188/100</f>
        <v>792.2535211267608</v>
      </c>
      <c r="V188" s="72">
        <f>S188*U188/1000</f>
        <v>310.74559859154937</v>
      </c>
      <c r="W188" s="72">
        <f>P188*U188/1000</f>
        <v>62.675176056338046</v>
      </c>
      <c r="X188" s="72">
        <v>2.25</v>
      </c>
      <c r="Y188" s="72">
        <v>39</v>
      </c>
      <c r="Z188" s="73">
        <v>23</v>
      </c>
      <c r="AA188" s="73">
        <v>70</v>
      </c>
      <c r="AB188" s="73">
        <v>4</v>
      </c>
      <c r="AC188" s="72"/>
      <c r="AD188" s="72">
        <f>$N188*1000*$X188*0.01*$S188*0.001</f>
        <v>310.74559859154937</v>
      </c>
      <c r="AE188" s="72">
        <f>$N188*1000*$X188*0.01*$P188*0.001</f>
        <v>62.675176056338046</v>
      </c>
      <c r="AF188" s="72"/>
      <c r="AG188" s="72"/>
      <c r="AH188" s="74"/>
      <c r="AI188" s="72"/>
      <c r="AJ188" s="72"/>
      <c r="AK188" s="72"/>
      <c r="AL188" s="72"/>
    </row>
    <row r="189" spans="1:38">
      <c r="A189" s="65">
        <v>188</v>
      </c>
      <c r="B189" s="150">
        <v>2008</v>
      </c>
      <c r="C189" s="66" t="s">
        <v>135</v>
      </c>
      <c r="D189" s="67" t="s">
        <v>105</v>
      </c>
      <c r="E189" s="67" t="s">
        <v>23</v>
      </c>
      <c r="F189" s="67" t="s">
        <v>33</v>
      </c>
      <c r="G189" s="67" t="s">
        <v>34</v>
      </c>
      <c r="H189" s="68">
        <v>39617</v>
      </c>
      <c r="I189" s="68">
        <v>39618</v>
      </c>
      <c r="J189" s="69">
        <v>2</v>
      </c>
      <c r="K189" s="70">
        <v>1.42</v>
      </c>
      <c r="L189" s="48">
        <v>4.5</v>
      </c>
      <c r="M189" s="48"/>
      <c r="N189" s="71">
        <f t="shared" si="7"/>
        <v>3.1690140845070425</v>
      </c>
      <c r="O189" s="48" t="s">
        <v>65</v>
      </c>
      <c r="P189" s="72"/>
      <c r="Q189" s="72"/>
      <c r="R189" s="72"/>
      <c r="S189" s="72"/>
      <c r="T189" s="72"/>
      <c r="U189" s="72"/>
      <c r="V189" s="72"/>
      <c r="W189" s="72"/>
      <c r="X189" s="72">
        <v>37</v>
      </c>
      <c r="Y189" s="72"/>
      <c r="Z189" s="72"/>
      <c r="AA189" s="72"/>
      <c r="AB189" s="72"/>
      <c r="AC189" s="72">
        <f>N189*AG189*X189*0.01</f>
        <v>3517.6056338028175</v>
      </c>
      <c r="AD189" s="72">
        <f>AC189*0.4089</f>
        <v>1438.348943661972</v>
      </c>
      <c r="AE189" s="72">
        <f>AC189*0.0263</f>
        <v>92.513028169014106</v>
      </c>
      <c r="AF189" s="72"/>
      <c r="AG189" s="72">
        <v>3000</v>
      </c>
      <c r="AI189" s="72"/>
      <c r="AJ189" s="72"/>
      <c r="AK189" s="72"/>
      <c r="AL189" s="72"/>
    </row>
    <row r="190" spans="1:38">
      <c r="A190" s="65">
        <v>189</v>
      </c>
      <c r="B190" s="150">
        <v>2008</v>
      </c>
      <c r="C190" s="66" t="s">
        <v>135</v>
      </c>
      <c r="D190" s="67" t="s">
        <v>105</v>
      </c>
      <c r="E190" s="67" t="s">
        <v>15</v>
      </c>
      <c r="F190" s="67" t="s">
        <v>35</v>
      </c>
      <c r="G190" s="67" t="s">
        <v>46</v>
      </c>
      <c r="H190" s="68">
        <v>39625</v>
      </c>
      <c r="I190" s="68"/>
      <c r="K190" s="70">
        <v>1.42</v>
      </c>
      <c r="L190" s="48">
        <v>40</v>
      </c>
      <c r="M190" s="48"/>
      <c r="N190" s="71">
        <f t="shared" ref="N190:N221" si="8">IF(L190/K190&gt;0, L190/K190,"")</f>
        <v>28.169014084507044</v>
      </c>
      <c r="O190" s="48" t="s">
        <v>5</v>
      </c>
      <c r="P190" s="72">
        <v>54.73</v>
      </c>
      <c r="Q190" s="72">
        <v>28.38</v>
      </c>
      <c r="R190" s="72" t="s">
        <v>60</v>
      </c>
      <c r="S190" s="72">
        <v>377.19</v>
      </c>
      <c r="T190" s="73">
        <v>6.89</v>
      </c>
      <c r="U190" s="72">
        <f>N190*1000*X190/100</f>
        <v>416.90140845070425</v>
      </c>
      <c r="V190" s="72">
        <f>S190*U190/1000</f>
        <v>157.25104225352112</v>
      </c>
      <c r="W190" s="72">
        <f>P190*U190/1000</f>
        <v>22.817014084507043</v>
      </c>
      <c r="X190" s="72">
        <v>1.48</v>
      </c>
      <c r="Y190" s="72">
        <v>31</v>
      </c>
      <c r="Z190" s="73">
        <v>19</v>
      </c>
      <c r="AA190" s="73">
        <v>56</v>
      </c>
      <c r="AB190" s="73">
        <v>3</v>
      </c>
      <c r="AC190" s="72"/>
      <c r="AD190" s="72">
        <f>$N190*1000*$X190*0.01*$S190*0.001</f>
        <v>157.25104225352112</v>
      </c>
      <c r="AE190" s="72">
        <f>$N190*1000*$X190*0.01*$P190*0.001</f>
        <v>22.817014084507043</v>
      </c>
      <c r="AF190" s="72"/>
      <c r="AG190" s="72"/>
      <c r="AH190" s="74"/>
      <c r="AI190" s="72"/>
      <c r="AJ190" s="72"/>
      <c r="AK190" s="72"/>
      <c r="AL190" s="72"/>
    </row>
    <row r="191" spans="1:38">
      <c r="A191" s="65">
        <v>190</v>
      </c>
      <c r="B191" s="150">
        <v>2008</v>
      </c>
      <c r="C191" s="66" t="s">
        <v>135</v>
      </c>
      <c r="D191" s="67" t="s">
        <v>105</v>
      </c>
      <c r="E191" s="67" t="s">
        <v>23</v>
      </c>
      <c r="F191" s="67" t="s">
        <v>33</v>
      </c>
      <c r="G191" s="67" t="s">
        <v>34</v>
      </c>
      <c r="H191" s="68">
        <v>39652</v>
      </c>
      <c r="I191" s="68">
        <v>39653</v>
      </c>
      <c r="J191" s="69">
        <v>3</v>
      </c>
      <c r="K191" s="70">
        <v>1.42</v>
      </c>
      <c r="L191" s="48">
        <v>2</v>
      </c>
      <c r="M191" s="48"/>
      <c r="N191" s="71">
        <f t="shared" si="8"/>
        <v>1.4084507042253522</v>
      </c>
      <c r="O191" s="48" t="s">
        <v>65</v>
      </c>
      <c r="P191" s="72"/>
      <c r="Q191" s="72"/>
      <c r="R191" s="72"/>
      <c r="S191" s="72"/>
      <c r="T191" s="72"/>
      <c r="U191" s="72"/>
      <c r="V191" s="72"/>
      <c r="W191" s="72"/>
      <c r="X191" s="72">
        <v>37</v>
      </c>
      <c r="Y191" s="72"/>
      <c r="Z191" s="72"/>
      <c r="AA191" s="72"/>
      <c r="AB191" s="72"/>
      <c r="AC191" s="72">
        <f>N191*AG191*X191*0.01</f>
        <v>1563.3802816901411</v>
      </c>
      <c r="AD191" s="72">
        <f>AC191*0.4089</f>
        <v>639.26619718309871</v>
      </c>
      <c r="AE191" s="72">
        <f>AC191*0.0263</f>
        <v>41.116901408450715</v>
      </c>
      <c r="AF191" s="72"/>
      <c r="AG191" s="72">
        <v>3000</v>
      </c>
      <c r="AI191" s="72"/>
      <c r="AJ191" s="72"/>
      <c r="AK191" s="72"/>
      <c r="AL191" s="72"/>
    </row>
    <row r="192" spans="1:38">
      <c r="A192" s="65">
        <v>191</v>
      </c>
      <c r="B192" s="150">
        <v>2008</v>
      </c>
      <c r="C192" s="66" t="s">
        <v>135</v>
      </c>
      <c r="D192" s="67" t="s">
        <v>105</v>
      </c>
      <c r="E192" s="67" t="s">
        <v>15</v>
      </c>
      <c r="F192" s="67" t="s">
        <v>35</v>
      </c>
      <c r="G192" s="67" t="s">
        <v>46</v>
      </c>
      <c r="H192" s="68">
        <v>39658</v>
      </c>
      <c r="I192" s="68"/>
      <c r="K192" s="70">
        <v>1.42</v>
      </c>
      <c r="L192" s="48">
        <v>60</v>
      </c>
      <c r="M192" s="48"/>
      <c r="N192" s="71">
        <f t="shared" si="8"/>
        <v>42.253521126760567</v>
      </c>
      <c r="O192" s="48" t="s">
        <v>5</v>
      </c>
      <c r="P192" s="72">
        <v>62.31</v>
      </c>
      <c r="Q192" s="72">
        <v>27.69</v>
      </c>
      <c r="R192" s="72">
        <v>3.85</v>
      </c>
      <c r="S192" s="72">
        <v>376.29</v>
      </c>
      <c r="T192" s="73">
        <v>6.04</v>
      </c>
      <c r="U192" s="72">
        <f>N192*1000*X192/100</f>
        <v>549.29577464788747</v>
      </c>
      <c r="V192" s="72">
        <f>S192*U192/1000</f>
        <v>206.6945070422536</v>
      </c>
      <c r="W192" s="72">
        <f>P192*U192/1000</f>
        <v>34.22661971830987</v>
      </c>
      <c r="X192" s="72">
        <v>1.3</v>
      </c>
      <c r="Y192" s="72">
        <v>30</v>
      </c>
      <c r="Z192" s="73">
        <v>25</v>
      </c>
      <c r="AA192" s="73">
        <v>110</v>
      </c>
      <c r="AB192" s="73">
        <v>4</v>
      </c>
      <c r="AC192" s="72"/>
      <c r="AD192" s="72">
        <f>$N192*1000*$X192*0.01*$S192*0.001</f>
        <v>206.6945070422536</v>
      </c>
      <c r="AE192" s="72">
        <f>$N192*1000*$X192*0.01*$P192*0.001</f>
        <v>34.22661971830987</v>
      </c>
      <c r="AF192" s="72"/>
      <c r="AG192" s="72"/>
      <c r="AH192" s="74"/>
      <c r="AI192" s="72"/>
      <c r="AJ192" s="72"/>
      <c r="AK192" s="72"/>
      <c r="AL192" s="72"/>
    </row>
    <row r="193" spans="1:38">
      <c r="A193" s="65">
        <v>192</v>
      </c>
      <c r="B193" s="150">
        <v>2008</v>
      </c>
      <c r="C193" s="66" t="s">
        <v>135</v>
      </c>
      <c r="D193" s="67" t="s">
        <v>105</v>
      </c>
      <c r="E193" s="67" t="s">
        <v>23</v>
      </c>
      <c r="F193" s="67" t="s">
        <v>33</v>
      </c>
      <c r="G193" s="67" t="s">
        <v>34</v>
      </c>
      <c r="H193" s="68">
        <v>39687</v>
      </c>
      <c r="I193" s="68">
        <v>39688</v>
      </c>
      <c r="J193" s="69">
        <v>4</v>
      </c>
      <c r="K193" s="70">
        <v>1.42</v>
      </c>
      <c r="L193" s="48">
        <v>1</v>
      </c>
      <c r="M193" s="48"/>
      <c r="N193" s="71">
        <f t="shared" si="8"/>
        <v>0.70422535211267612</v>
      </c>
      <c r="O193" s="48" t="s">
        <v>65</v>
      </c>
      <c r="P193" s="72"/>
      <c r="Q193" s="72"/>
      <c r="R193" s="72"/>
      <c r="S193" s="72"/>
      <c r="T193" s="72"/>
      <c r="U193" s="72"/>
      <c r="V193" s="72"/>
      <c r="W193" s="72"/>
      <c r="X193" s="72">
        <v>37</v>
      </c>
      <c r="Y193" s="72"/>
      <c r="Z193" s="72"/>
      <c r="AA193" s="72"/>
      <c r="AB193" s="72"/>
      <c r="AC193" s="72">
        <f>N193*AG193*X193*0.01</f>
        <v>781.69014084507057</v>
      </c>
      <c r="AD193" s="72">
        <f>AC193*0.4089</f>
        <v>319.63309859154936</v>
      </c>
      <c r="AE193" s="72">
        <f>AC193*0.0263</f>
        <v>20.558450704225358</v>
      </c>
      <c r="AF193" s="72"/>
      <c r="AG193" s="72">
        <v>3000</v>
      </c>
      <c r="AI193" s="72"/>
      <c r="AJ193" s="72"/>
      <c r="AK193" s="72"/>
      <c r="AL193" s="72"/>
    </row>
    <row r="194" spans="1:38">
      <c r="A194" s="65">
        <v>193</v>
      </c>
      <c r="B194" s="150">
        <v>2008</v>
      </c>
      <c r="C194" s="66" t="s">
        <v>135</v>
      </c>
      <c r="D194" s="67" t="s">
        <v>105</v>
      </c>
      <c r="E194" s="67" t="s">
        <v>15</v>
      </c>
      <c r="F194" s="67" t="s">
        <v>35</v>
      </c>
      <c r="G194" s="67" t="s">
        <v>46</v>
      </c>
      <c r="H194" s="68">
        <v>39693</v>
      </c>
      <c r="I194" s="68"/>
      <c r="K194" s="70">
        <v>1.42</v>
      </c>
      <c r="L194" s="48">
        <v>60</v>
      </c>
      <c r="M194" s="48"/>
      <c r="N194" s="71">
        <f t="shared" si="8"/>
        <v>42.253521126760567</v>
      </c>
      <c r="O194" s="48" t="s">
        <v>5</v>
      </c>
      <c r="P194" s="72">
        <v>50</v>
      </c>
      <c r="Q194" s="72">
        <v>21.79</v>
      </c>
      <c r="R194" s="72">
        <v>1.28</v>
      </c>
      <c r="S194" s="72">
        <v>447.25</v>
      </c>
      <c r="T194" s="73">
        <v>8.94</v>
      </c>
      <c r="U194" s="72">
        <f>N194*1000*X194/100</f>
        <v>988.73239436619724</v>
      </c>
      <c r="V194" s="72">
        <f>S194*U194/1000</f>
        <v>442.21056338028171</v>
      </c>
      <c r="W194" s="72">
        <f>P194*U194/1000</f>
        <v>49.436619718309863</v>
      </c>
      <c r="X194" s="72">
        <v>2.34</v>
      </c>
      <c r="Y194" s="72">
        <v>46</v>
      </c>
      <c r="Z194" s="73">
        <v>28</v>
      </c>
      <c r="AA194" s="73">
        <v>85</v>
      </c>
      <c r="AB194" s="73">
        <v>4</v>
      </c>
      <c r="AC194" s="72"/>
      <c r="AD194" s="72">
        <f>$N194*1000*$X194*0.01*$S194*0.001</f>
        <v>442.21056338028177</v>
      </c>
      <c r="AE194" s="72">
        <f>$N194*1000*$X194*0.01*$P194*0.001</f>
        <v>49.436619718309863</v>
      </c>
      <c r="AF194" s="72"/>
      <c r="AG194" s="72"/>
      <c r="AH194" s="74"/>
      <c r="AI194" s="72"/>
      <c r="AJ194" s="72"/>
      <c r="AK194" s="72"/>
      <c r="AL194" s="72"/>
    </row>
    <row r="195" spans="1:38">
      <c r="A195" s="65">
        <v>194</v>
      </c>
      <c r="B195" s="150">
        <v>2008</v>
      </c>
      <c r="C195" s="66" t="s">
        <v>135</v>
      </c>
      <c r="D195" s="67" t="s">
        <v>105</v>
      </c>
      <c r="E195" s="67" t="s">
        <v>23</v>
      </c>
      <c r="F195" s="67" t="s">
        <v>33</v>
      </c>
      <c r="G195" s="67" t="s">
        <v>34</v>
      </c>
      <c r="H195" s="68">
        <v>39719</v>
      </c>
      <c r="I195" s="68">
        <v>39720</v>
      </c>
      <c r="J195" s="69">
        <v>5</v>
      </c>
      <c r="K195" s="70">
        <v>1.42</v>
      </c>
      <c r="L195" s="48">
        <v>2</v>
      </c>
      <c r="M195" s="48"/>
      <c r="N195" s="71">
        <f t="shared" si="8"/>
        <v>1.4084507042253522</v>
      </c>
      <c r="O195" s="48" t="s">
        <v>65</v>
      </c>
      <c r="P195" s="72"/>
      <c r="Q195" s="72"/>
      <c r="R195" s="72"/>
      <c r="S195" s="72"/>
      <c r="T195" s="72"/>
      <c r="U195" s="72"/>
      <c r="V195" s="72"/>
      <c r="W195" s="72"/>
      <c r="X195" s="72">
        <v>37</v>
      </c>
      <c r="Y195" s="72"/>
      <c r="Z195" s="72"/>
      <c r="AA195" s="72"/>
      <c r="AB195" s="72"/>
      <c r="AC195" s="72">
        <f>N195*AG195*X195*0.01</f>
        <v>1563.3802816901411</v>
      </c>
      <c r="AD195" s="72">
        <f>AC195*0.4089</f>
        <v>639.26619718309871</v>
      </c>
      <c r="AE195" s="72">
        <f>AC195*0.0263</f>
        <v>41.116901408450715</v>
      </c>
      <c r="AF195" s="72"/>
      <c r="AG195" s="72">
        <v>3000</v>
      </c>
      <c r="AI195" s="72"/>
      <c r="AJ195" s="72"/>
      <c r="AK195" s="72"/>
      <c r="AL195" s="72"/>
    </row>
    <row r="196" spans="1:38">
      <c r="A196" s="65">
        <v>195</v>
      </c>
      <c r="B196" s="150">
        <v>2008</v>
      </c>
      <c r="C196" s="66" t="s">
        <v>135</v>
      </c>
      <c r="D196" s="67" t="s">
        <v>105</v>
      </c>
      <c r="E196" s="67" t="s">
        <v>15</v>
      </c>
      <c r="F196" s="67" t="s">
        <v>35</v>
      </c>
      <c r="G196" s="67" t="s">
        <v>46</v>
      </c>
      <c r="H196" s="68">
        <v>39727</v>
      </c>
      <c r="I196" s="68"/>
      <c r="K196" s="70">
        <v>1.42</v>
      </c>
      <c r="L196" s="48">
        <v>70</v>
      </c>
      <c r="M196" s="48"/>
      <c r="N196" s="71">
        <f t="shared" si="8"/>
        <v>49.295774647887328</v>
      </c>
      <c r="O196" s="48" t="s">
        <v>5</v>
      </c>
      <c r="P196" s="72">
        <v>84.38</v>
      </c>
      <c r="Q196" s="72">
        <v>39.58</v>
      </c>
      <c r="R196" s="72">
        <v>5.21</v>
      </c>
      <c r="S196" s="72">
        <v>348.35</v>
      </c>
      <c r="T196" s="73">
        <v>4.13</v>
      </c>
      <c r="U196" s="72">
        <f>N196*1000*X196/100</f>
        <v>473.23943661971833</v>
      </c>
      <c r="V196" s="72">
        <f>S196*U196/1000</f>
        <v>164.85295774647889</v>
      </c>
      <c r="W196" s="72">
        <f>P196*U196/1000</f>
        <v>39.931943661971836</v>
      </c>
      <c r="X196" s="72">
        <v>0.96</v>
      </c>
      <c r="Y196" s="72">
        <v>54</v>
      </c>
      <c r="Z196" s="73">
        <v>33</v>
      </c>
      <c r="AA196" s="73">
        <v>99</v>
      </c>
      <c r="AB196" s="73">
        <v>5</v>
      </c>
      <c r="AC196" s="72"/>
      <c r="AD196" s="72">
        <f>$N196*1000*$X196*0.01*$S196*0.001</f>
        <v>164.85295774647889</v>
      </c>
      <c r="AE196" s="72">
        <f>$N196*1000*$X196*0.01*$P196*0.001</f>
        <v>39.931943661971836</v>
      </c>
      <c r="AF196" s="72"/>
      <c r="AG196" s="72"/>
      <c r="AH196" s="74"/>
      <c r="AI196" s="72"/>
      <c r="AJ196" s="72"/>
      <c r="AK196" s="72"/>
      <c r="AL196" s="72"/>
    </row>
    <row r="197" spans="1:38">
      <c r="A197" s="65">
        <v>196</v>
      </c>
      <c r="B197" s="150">
        <v>2008</v>
      </c>
      <c r="C197" s="66" t="s">
        <v>135</v>
      </c>
      <c r="D197" s="67" t="s">
        <v>105</v>
      </c>
      <c r="E197" s="67" t="s">
        <v>23</v>
      </c>
      <c r="F197" s="67" t="s">
        <v>33</v>
      </c>
      <c r="G197" s="67" t="s">
        <v>34</v>
      </c>
      <c r="H197" s="68">
        <v>39746</v>
      </c>
      <c r="I197" s="68">
        <v>39747</v>
      </c>
      <c r="J197" s="69">
        <v>6</v>
      </c>
      <c r="K197" s="70">
        <v>1.42</v>
      </c>
      <c r="L197" s="48">
        <v>3</v>
      </c>
      <c r="M197" s="48"/>
      <c r="N197" s="71">
        <f t="shared" si="8"/>
        <v>2.1126760563380285</v>
      </c>
      <c r="O197" s="83" t="s">
        <v>68</v>
      </c>
      <c r="P197" s="72"/>
      <c r="Q197" s="72"/>
      <c r="R197" s="72"/>
      <c r="S197" s="72"/>
      <c r="T197" s="72"/>
      <c r="U197" s="72"/>
      <c r="V197" s="72"/>
      <c r="W197" s="72"/>
      <c r="X197" s="72">
        <v>37</v>
      </c>
      <c r="Y197" s="72"/>
      <c r="Z197" s="72"/>
      <c r="AA197" s="72"/>
      <c r="AB197" s="72"/>
      <c r="AC197" s="72">
        <f>N197*AG197*X197*0.01</f>
        <v>480.73943661971839</v>
      </c>
      <c r="AD197" s="72">
        <f>AC197*0.4089</f>
        <v>196.57435563380284</v>
      </c>
      <c r="AE197" s="72">
        <f>AC197*0.0263</f>
        <v>12.643447183098594</v>
      </c>
      <c r="AF197" s="72"/>
      <c r="AG197" s="72">
        <v>615</v>
      </c>
      <c r="AI197" s="72"/>
      <c r="AJ197" s="72"/>
      <c r="AK197" s="72"/>
      <c r="AL197" s="72"/>
    </row>
    <row r="198" spans="1:38">
      <c r="A198" s="65">
        <v>197</v>
      </c>
      <c r="B198" s="150">
        <v>2008</v>
      </c>
      <c r="C198" s="66" t="s">
        <v>135</v>
      </c>
      <c r="D198" s="67" t="s">
        <v>105</v>
      </c>
      <c r="E198" s="67" t="s">
        <v>15</v>
      </c>
      <c r="F198" s="67" t="s">
        <v>35</v>
      </c>
      <c r="G198" s="67" t="s">
        <v>46</v>
      </c>
      <c r="H198" s="68">
        <v>39763</v>
      </c>
      <c r="I198" s="68"/>
      <c r="K198" s="70">
        <v>1.42</v>
      </c>
      <c r="L198" s="48">
        <v>90</v>
      </c>
      <c r="M198" s="48"/>
      <c r="N198" s="71">
        <f t="shared" si="8"/>
        <v>63.380281690140848</v>
      </c>
      <c r="O198" s="48" t="s">
        <v>5</v>
      </c>
      <c r="P198" s="72">
        <v>49.71</v>
      </c>
      <c r="Q198" s="72">
        <v>16.37</v>
      </c>
      <c r="R198" s="72" t="s">
        <v>60</v>
      </c>
      <c r="S198" s="72">
        <v>461.74</v>
      </c>
      <c r="T198" s="73">
        <v>9.2899999999999991</v>
      </c>
      <c r="U198" s="72">
        <f>N198*1000*X198/100</f>
        <v>2167.6056338028166</v>
      </c>
      <c r="V198" s="72">
        <f>S198*U198/1000</f>
        <v>1000.8702253521126</v>
      </c>
      <c r="W198" s="72">
        <f>P198*U198/1000</f>
        <v>107.75167605633801</v>
      </c>
      <c r="X198" s="72">
        <v>3.42</v>
      </c>
      <c r="Y198" s="72">
        <v>44</v>
      </c>
      <c r="Z198" s="73">
        <v>38</v>
      </c>
      <c r="AA198" s="73">
        <v>165</v>
      </c>
      <c r="AB198" s="73">
        <v>6</v>
      </c>
      <c r="AC198" s="72"/>
      <c r="AD198" s="72">
        <f>$N198*1000*$X198*0.01*$S198*0.001</f>
        <v>1000.8702253521126</v>
      </c>
      <c r="AE198" s="72">
        <f>$N198*1000*$X198*0.01*$P198*0.001</f>
        <v>107.75167605633801</v>
      </c>
      <c r="AF198" s="72"/>
      <c r="AG198" s="72"/>
      <c r="AH198" s="74"/>
      <c r="AI198" s="72"/>
      <c r="AJ198" s="72"/>
      <c r="AK198" s="72"/>
      <c r="AL198" s="72"/>
    </row>
    <row r="199" spans="1:38">
      <c r="A199" s="65">
        <v>198</v>
      </c>
      <c r="B199" s="150">
        <v>2008</v>
      </c>
      <c r="C199" s="79" t="s">
        <v>136</v>
      </c>
      <c r="D199" s="67" t="s">
        <v>105</v>
      </c>
      <c r="E199" s="67" t="s">
        <v>15</v>
      </c>
      <c r="F199" s="67" t="s">
        <v>35</v>
      </c>
      <c r="G199" s="67" t="s">
        <v>46</v>
      </c>
      <c r="H199" s="68">
        <v>39526</v>
      </c>
      <c r="I199" s="68"/>
      <c r="K199" s="70">
        <v>3.26</v>
      </c>
      <c r="L199" s="48">
        <v>110</v>
      </c>
      <c r="M199" s="48"/>
      <c r="N199" s="71">
        <f t="shared" si="8"/>
        <v>33.742331288343557</v>
      </c>
      <c r="O199" s="48" t="s">
        <v>5</v>
      </c>
      <c r="P199" s="83">
        <v>76.5</v>
      </c>
      <c r="Q199" s="83">
        <v>29.6</v>
      </c>
      <c r="R199" s="72" t="s">
        <v>60</v>
      </c>
      <c r="S199" s="83">
        <v>426.7</v>
      </c>
      <c r="T199" s="85">
        <v>5.6</v>
      </c>
      <c r="U199" s="72">
        <f>N199*1000*X199/100</f>
        <v>978.52760736196319</v>
      </c>
      <c r="V199" s="72">
        <f>S199*U199/1000</f>
        <v>417.53773006134969</v>
      </c>
      <c r="W199" s="72">
        <f>P199*U199/1000</f>
        <v>74.857361963190186</v>
      </c>
      <c r="X199" s="72">
        <v>2.9</v>
      </c>
      <c r="Y199" s="72">
        <v>37.116564417177919</v>
      </c>
      <c r="Z199" s="73">
        <v>22.269938650306752</v>
      </c>
      <c r="AA199" s="73">
        <v>67.484662576687114</v>
      </c>
      <c r="AB199" s="73">
        <v>3.3742331288343559</v>
      </c>
      <c r="AC199" s="72"/>
      <c r="AD199" s="72">
        <f>$N199*1000*$X199*0.01*$S199*0.001</f>
        <v>417.53773006134969</v>
      </c>
      <c r="AE199" s="72">
        <f>$N199*1000*$X199*0.01*$P199*0.001</f>
        <v>74.857361963190186</v>
      </c>
      <c r="AF199" s="72"/>
      <c r="AG199" s="72"/>
      <c r="AH199" s="74"/>
      <c r="AI199" s="83"/>
      <c r="AJ199" s="83"/>
      <c r="AK199" s="72"/>
      <c r="AL199" s="72"/>
    </row>
    <row r="200" spans="1:38">
      <c r="A200" s="65">
        <v>199</v>
      </c>
      <c r="B200" s="150">
        <v>2008</v>
      </c>
      <c r="C200" s="79" t="s">
        <v>136</v>
      </c>
      <c r="D200" s="67" t="s">
        <v>105</v>
      </c>
      <c r="E200" s="67" t="s">
        <v>23</v>
      </c>
      <c r="F200" s="67" t="s">
        <v>33</v>
      </c>
      <c r="G200" s="67" t="s">
        <v>34</v>
      </c>
      <c r="H200" s="68">
        <v>39575</v>
      </c>
      <c r="I200" s="68">
        <v>39576</v>
      </c>
      <c r="J200" s="69">
        <v>1</v>
      </c>
      <c r="K200" s="70">
        <v>3.26</v>
      </c>
      <c r="L200" s="48">
        <v>6</v>
      </c>
      <c r="M200" s="48"/>
      <c r="N200" s="71">
        <f t="shared" si="8"/>
        <v>1.8404907975460123</v>
      </c>
      <c r="O200" s="48" t="s">
        <v>65</v>
      </c>
      <c r="P200" s="72"/>
      <c r="Q200" s="72"/>
      <c r="R200" s="72"/>
      <c r="S200" s="72"/>
      <c r="T200" s="48"/>
      <c r="U200" s="48"/>
      <c r="V200" s="48"/>
      <c r="W200" s="48"/>
      <c r="X200" s="72">
        <v>37</v>
      </c>
      <c r="Y200" s="72"/>
      <c r="Z200" s="72"/>
      <c r="AA200" s="72"/>
      <c r="AB200" s="72"/>
      <c r="AC200" s="72">
        <f>N200*AG200*X200*0.01</f>
        <v>2042.9447852760736</v>
      </c>
      <c r="AD200" s="72">
        <f>AC200*0.4089</f>
        <v>835.36012269938647</v>
      </c>
      <c r="AE200" s="72">
        <f>AC200*0.0263</f>
        <v>53.729447852760735</v>
      </c>
      <c r="AF200" s="72"/>
      <c r="AG200" s="72">
        <v>3000</v>
      </c>
      <c r="AI200" s="48"/>
      <c r="AJ200" s="48"/>
      <c r="AK200" s="72"/>
      <c r="AL200" s="72"/>
    </row>
    <row r="201" spans="1:38">
      <c r="A201" s="65">
        <v>200</v>
      </c>
      <c r="B201" s="150">
        <v>2008</v>
      </c>
      <c r="C201" s="79" t="s">
        <v>136</v>
      </c>
      <c r="D201" s="67" t="s">
        <v>105</v>
      </c>
      <c r="E201" s="67" t="s">
        <v>15</v>
      </c>
      <c r="F201" s="67" t="s">
        <v>35</v>
      </c>
      <c r="G201" s="67" t="s">
        <v>46</v>
      </c>
      <c r="H201" s="68">
        <v>39584</v>
      </c>
      <c r="I201" s="68"/>
      <c r="K201" s="70">
        <v>3.26</v>
      </c>
      <c r="L201" s="48">
        <v>80</v>
      </c>
      <c r="M201" s="48"/>
      <c r="N201" s="71">
        <f t="shared" si="8"/>
        <v>24.539877300613497</v>
      </c>
      <c r="O201" s="48" t="s">
        <v>5</v>
      </c>
      <c r="P201" s="83">
        <v>64.599999999999994</v>
      </c>
      <c r="Q201" s="83">
        <v>32.6</v>
      </c>
      <c r="R201" s="72" t="s">
        <v>60</v>
      </c>
      <c r="S201" s="83">
        <v>387.5</v>
      </c>
      <c r="T201" s="85">
        <v>6</v>
      </c>
      <c r="U201" s="72">
        <f>N201*1000*X201/100</f>
        <v>515.33742331288352</v>
      </c>
      <c r="V201" s="72">
        <f>S201*U201/1000</f>
        <v>199.69325153374234</v>
      </c>
      <c r="W201" s="72">
        <f>P201*U201/1000</f>
        <v>33.290797546012271</v>
      </c>
      <c r="X201" s="72">
        <v>2.1</v>
      </c>
      <c r="Y201" s="72">
        <v>26.993865030674847</v>
      </c>
      <c r="Z201" s="73">
        <v>16.19631901840491</v>
      </c>
      <c r="AA201" s="73">
        <v>49.079754601226995</v>
      </c>
      <c r="AB201" s="73">
        <v>2.4539877300613497</v>
      </c>
      <c r="AC201" s="72"/>
      <c r="AD201" s="72">
        <f>$N201*1000*$X201*0.01*$S201*0.001</f>
        <v>199.69325153374237</v>
      </c>
      <c r="AE201" s="72">
        <f>$N201*1000*$X201*0.01*$P201*0.001</f>
        <v>33.290797546012271</v>
      </c>
      <c r="AF201" s="72"/>
      <c r="AG201" s="72"/>
      <c r="AH201" s="74"/>
      <c r="AI201" s="83"/>
      <c r="AJ201" s="83"/>
      <c r="AK201" s="72"/>
      <c r="AL201" s="72"/>
    </row>
    <row r="202" spans="1:38">
      <c r="A202" s="65">
        <v>201</v>
      </c>
      <c r="B202" s="150">
        <v>2008</v>
      </c>
      <c r="C202" s="79" t="s">
        <v>136</v>
      </c>
      <c r="D202" s="67" t="s">
        <v>105</v>
      </c>
      <c r="E202" s="67" t="s">
        <v>23</v>
      </c>
      <c r="F202" s="67" t="s">
        <v>33</v>
      </c>
      <c r="G202" s="67" t="s">
        <v>34</v>
      </c>
      <c r="H202" s="68">
        <v>39617</v>
      </c>
      <c r="I202" s="68">
        <v>39618</v>
      </c>
      <c r="J202" s="69">
        <v>2</v>
      </c>
      <c r="K202" s="70">
        <v>3.26</v>
      </c>
      <c r="L202" s="48">
        <v>2</v>
      </c>
      <c r="M202" s="48"/>
      <c r="N202" s="71">
        <f t="shared" si="8"/>
        <v>0.61349693251533743</v>
      </c>
      <c r="O202" s="48" t="s">
        <v>65</v>
      </c>
      <c r="P202" s="72"/>
      <c r="Q202" s="72"/>
      <c r="R202" s="72"/>
      <c r="S202" s="72"/>
      <c r="T202" s="48"/>
      <c r="U202" s="48"/>
      <c r="V202" s="48"/>
      <c r="W202" s="48"/>
      <c r="X202" s="72">
        <v>37</v>
      </c>
      <c r="Y202" s="72"/>
      <c r="Z202" s="72"/>
      <c r="AA202" s="72"/>
      <c r="AB202" s="72"/>
      <c r="AC202" s="72">
        <f>N202*AG202*X202*0.01</f>
        <v>680.98159509202458</v>
      </c>
      <c r="AD202" s="72">
        <f>AC202*0.4089</f>
        <v>278.45337423312884</v>
      </c>
      <c r="AE202" s="72">
        <f>AC202*0.0263</f>
        <v>17.909815950920247</v>
      </c>
      <c r="AF202" s="72"/>
      <c r="AG202" s="72">
        <v>3000</v>
      </c>
      <c r="AI202" s="48"/>
      <c r="AJ202" s="48"/>
      <c r="AK202" s="72"/>
      <c r="AL202" s="72"/>
    </row>
    <row r="203" spans="1:38">
      <c r="A203" s="65">
        <v>202</v>
      </c>
      <c r="B203" s="150">
        <v>2008</v>
      </c>
      <c r="C203" s="79" t="s">
        <v>136</v>
      </c>
      <c r="D203" s="67" t="s">
        <v>105</v>
      </c>
      <c r="E203" s="67" t="s">
        <v>23</v>
      </c>
      <c r="F203" s="67" t="s">
        <v>33</v>
      </c>
      <c r="G203" s="78" t="s">
        <v>41</v>
      </c>
      <c r="H203" s="68">
        <v>39617</v>
      </c>
      <c r="I203" s="68">
        <v>39618</v>
      </c>
      <c r="J203" s="69">
        <v>2</v>
      </c>
      <c r="K203" s="70">
        <v>3.26</v>
      </c>
      <c r="L203" s="48">
        <v>3</v>
      </c>
      <c r="M203" s="48"/>
      <c r="N203" s="71">
        <f t="shared" si="8"/>
        <v>0.92024539877300615</v>
      </c>
      <c r="O203" s="48" t="s">
        <v>65</v>
      </c>
      <c r="P203" s="72"/>
      <c r="Q203" s="72"/>
      <c r="R203" s="72"/>
      <c r="S203" s="72"/>
      <c r="T203" s="48"/>
      <c r="U203" s="48"/>
      <c r="V203" s="48"/>
      <c r="W203" s="48"/>
      <c r="X203" s="72">
        <v>70</v>
      </c>
      <c r="Y203" s="72"/>
      <c r="Z203" s="72"/>
      <c r="AA203" s="72"/>
      <c r="AB203" s="72"/>
      <c r="AC203" s="72">
        <f>N203*AG203*X203*0.01</f>
        <v>966.25766871165649</v>
      </c>
      <c r="AD203" s="72">
        <f>AC203*0.4089</f>
        <v>395.10276073619633</v>
      </c>
      <c r="AE203" s="72">
        <f>AC203*0.0263</f>
        <v>25.412576687116566</v>
      </c>
      <c r="AF203" s="72"/>
      <c r="AG203" s="72">
        <v>1500</v>
      </c>
      <c r="AI203" s="48"/>
      <c r="AJ203" s="48"/>
      <c r="AK203" s="72"/>
      <c r="AL203" s="72"/>
    </row>
    <row r="204" spans="1:38">
      <c r="A204" s="65">
        <v>203</v>
      </c>
      <c r="B204" s="150">
        <v>2008</v>
      </c>
      <c r="C204" s="79" t="s">
        <v>136</v>
      </c>
      <c r="D204" s="67" t="s">
        <v>105</v>
      </c>
      <c r="E204" s="67" t="s">
        <v>15</v>
      </c>
      <c r="F204" s="67" t="s">
        <v>35</v>
      </c>
      <c r="G204" s="67" t="s">
        <v>46</v>
      </c>
      <c r="H204" s="68">
        <v>39625</v>
      </c>
      <c r="I204" s="68"/>
      <c r="K204" s="70">
        <v>3.26</v>
      </c>
      <c r="L204" s="48">
        <v>110</v>
      </c>
      <c r="M204" s="48"/>
      <c r="N204" s="71">
        <f t="shared" si="8"/>
        <v>33.742331288343557</v>
      </c>
      <c r="O204" s="48" t="s">
        <v>5</v>
      </c>
      <c r="P204" s="83">
        <v>63.5</v>
      </c>
      <c r="Q204" s="83">
        <v>29.9</v>
      </c>
      <c r="R204" s="48">
        <v>0.79</v>
      </c>
      <c r="S204" s="83">
        <v>387.7</v>
      </c>
      <c r="T204" s="85">
        <v>6.1</v>
      </c>
      <c r="U204" s="72">
        <f>N204*1000*X204/100</f>
        <v>573.61963190184042</v>
      </c>
      <c r="V204" s="72">
        <f>S204*U204/1000</f>
        <v>222.39233128834354</v>
      </c>
      <c r="W204" s="72">
        <f>P204*U204/1000</f>
        <v>36.424846625766868</v>
      </c>
      <c r="X204" s="72">
        <v>1.7</v>
      </c>
      <c r="Y204" s="72">
        <v>37.116564417177919</v>
      </c>
      <c r="Z204" s="73">
        <v>22.269938650306752</v>
      </c>
      <c r="AA204" s="73">
        <v>67.484662576687114</v>
      </c>
      <c r="AB204" s="73">
        <v>3.3742331288343559</v>
      </c>
      <c r="AC204" s="72"/>
      <c r="AD204" s="72">
        <f>$N204*1000*$X204*0.01*$S204*0.001</f>
        <v>222.39233128834357</v>
      </c>
      <c r="AE204" s="72">
        <f>$N204*1000*$X204*0.01*$P204*0.001</f>
        <v>36.424846625766875</v>
      </c>
      <c r="AF204" s="72"/>
      <c r="AG204" s="72"/>
      <c r="AH204" s="74"/>
      <c r="AI204" s="83"/>
      <c r="AJ204" s="83"/>
      <c r="AK204" s="72"/>
      <c r="AL204" s="72"/>
    </row>
    <row r="205" spans="1:38">
      <c r="A205" s="65">
        <v>204</v>
      </c>
      <c r="B205" s="150">
        <v>2008</v>
      </c>
      <c r="C205" s="79" t="s">
        <v>136</v>
      </c>
      <c r="D205" s="67" t="s">
        <v>105</v>
      </c>
      <c r="E205" s="67" t="s">
        <v>23</v>
      </c>
      <c r="F205" s="67" t="s">
        <v>33</v>
      </c>
      <c r="G205" s="67" t="s">
        <v>34</v>
      </c>
      <c r="H205" s="68">
        <v>39652</v>
      </c>
      <c r="I205" s="68">
        <v>39653</v>
      </c>
      <c r="J205" s="69">
        <v>3</v>
      </c>
      <c r="K205" s="70">
        <v>3.26</v>
      </c>
      <c r="L205" s="48">
        <v>3.5</v>
      </c>
      <c r="M205" s="48"/>
      <c r="N205" s="71">
        <f t="shared" si="8"/>
        <v>1.0736196319018405</v>
      </c>
      <c r="O205" s="48" t="s">
        <v>65</v>
      </c>
      <c r="P205" s="72"/>
      <c r="Q205" s="72"/>
      <c r="R205" s="72"/>
      <c r="S205" s="72"/>
      <c r="T205" s="48"/>
      <c r="U205" s="48"/>
      <c r="V205" s="48"/>
      <c r="W205" s="48"/>
      <c r="X205" s="72">
        <v>37</v>
      </c>
      <c r="Y205" s="72"/>
      <c r="Z205" s="72"/>
      <c r="AA205" s="72"/>
      <c r="AB205" s="72"/>
      <c r="AC205" s="72">
        <f>N205*AG205*X205*0.01</f>
        <v>1191.717791411043</v>
      </c>
      <c r="AD205" s="72">
        <f>AC205*0.4089</f>
        <v>487.29340490797546</v>
      </c>
      <c r="AE205" s="72">
        <f>AC205*0.0263</f>
        <v>31.34217791411043</v>
      </c>
      <c r="AF205" s="72"/>
      <c r="AG205" s="72">
        <v>3000</v>
      </c>
      <c r="AI205" s="48"/>
      <c r="AJ205" s="48"/>
      <c r="AK205" s="72"/>
      <c r="AL205" s="72"/>
    </row>
    <row r="206" spans="1:38">
      <c r="A206" s="65">
        <v>205</v>
      </c>
      <c r="B206" s="150">
        <v>2008</v>
      </c>
      <c r="C206" s="79" t="s">
        <v>136</v>
      </c>
      <c r="D206" s="67" t="s">
        <v>105</v>
      </c>
      <c r="E206" s="67" t="s">
        <v>15</v>
      </c>
      <c r="F206" s="67" t="s">
        <v>35</v>
      </c>
      <c r="G206" s="67" t="s">
        <v>46</v>
      </c>
      <c r="H206" s="68">
        <v>39658</v>
      </c>
      <c r="I206" s="68"/>
      <c r="K206" s="70">
        <v>3.26</v>
      </c>
      <c r="L206" s="48">
        <v>94</v>
      </c>
      <c r="M206" s="48"/>
      <c r="N206" s="71">
        <f t="shared" si="8"/>
        <v>28.834355828220861</v>
      </c>
      <c r="O206" s="48" t="s">
        <v>5</v>
      </c>
      <c r="P206" s="83">
        <v>93.7</v>
      </c>
      <c r="Q206" s="83">
        <v>38.1</v>
      </c>
      <c r="R206" s="48">
        <v>3.09</v>
      </c>
      <c r="S206" s="83">
        <v>388.6</v>
      </c>
      <c r="T206" s="85">
        <v>4.2</v>
      </c>
      <c r="U206" s="72">
        <f>N206*1000*X206/100</f>
        <v>374.84662576687123</v>
      </c>
      <c r="V206" s="72">
        <f>S206*U206/1000</f>
        <v>145.66539877300616</v>
      </c>
      <c r="W206" s="72">
        <f>P206*U206/1000</f>
        <v>35.123128834355832</v>
      </c>
      <c r="X206" s="72">
        <v>1.3</v>
      </c>
      <c r="Y206" s="72">
        <v>20.184049079754601</v>
      </c>
      <c r="Z206" s="73">
        <v>17.300613496932517</v>
      </c>
      <c r="AA206" s="73">
        <v>74.969325153374243</v>
      </c>
      <c r="AB206" s="73">
        <v>2.8834355828220861</v>
      </c>
      <c r="AC206" s="72"/>
      <c r="AD206" s="72">
        <f>$N206*1000*$X206*0.01*$S206*0.001</f>
        <v>145.66539877300616</v>
      </c>
      <c r="AE206" s="72">
        <f>$N206*1000*$X206*0.01*$P206*0.001</f>
        <v>35.123128834355832</v>
      </c>
      <c r="AF206" s="72"/>
      <c r="AG206" s="72"/>
      <c r="AH206" s="74"/>
      <c r="AI206" s="83"/>
      <c r="AJ206" s="83"/>
      <c r="AK206" s="72"/>
      <c r="AL206" s="72"/>
    </row>
    <row r="207" spans="1:38">
      <c r="A207" s="65">
        <v>206</v>
      </c>
      <c r="B207" s="150">
        <v>2008</v>
      </c>
      <c r="C207" s="79" t="s">
        <v>136</v>
      </c>
      <c r="D207" s="67" t="s">
        <v>105</v>
      </c>
      <c r="E207" s="67" t="s">
        <v>23</v>
      </c>
      <c r="F207" s="67" t="s">
        <v>33</v>
      </c>
      <c r="G207" s="67" t="s">
        <v>34</v>
      </c>
      <c r="H207" s="68">
        <v>39687</v>
      </c>
      <c r="I207" s="68">
        <v>39688</v>
      </c>
      <c r="J207" s="69">
        <v>4</v>
      </c>
      <c r="K207" s="70">
        <v>3.26</v>
      </c>
      <c r="L207" s="48">
        <v>3</v>
      </c>
      <c r="M207" s="48"/>
      <c r="N207" s="71">
        <f t="shared" si="8"/>
        <v>0.92024539877300615</v>
      </c>
      <c r="O207" s="48" t="s">
        <v>65</v>
      </c>
      <c r="P207" s="72"/>
      <c r="Q207" s="72"/>
      <c r="R207" s="72"/>
      <c r="S207" s="72"/>
      <c r="T207" s="48"/>
      <c r="U207" s="48"/>
      <c r="V207" s="48"/>
      <c r="W207" s="48"/>
      <c r="X207" s="72">
        <v>37</v>
      </c>
      <c r="Y207" s="72"/>
      <c r="Z207" s="72"/>
      <c r="AA207" s="72"/>
      <c r="AB207" s="72"/>
      <c r="AC207" s="72">
        <f>N207*AG207*X207*0.01</f>
        <v>1021.4723926380368</v>
      </c>
      <c r="AD207" s="72">
        <f>AC207*0.4089</f>
        <v>417.68006134969323</v>
      </c>
      <c r="AE207" s="72">
        <f>AC207*0.0263</f>
        <v>26.864723926380368</v>
      </c>
      <c r="AF207" s="72"/>
      <c r="AG207" s="72">
        <v>3000</v>
      </c>
      <c r="AI207" s="48"/>
      <c r="AJ207" s="48"/>
      <c r="AK207" s="72"/>
      <c r="AL207" s="72"/>
    </row>
    <row r="208" spans="1:38">
      <c r="A208" s="65">
        <v>207</v>
      </c>
      <c r="B208" s="150">
        <v>2008</v>
      </c>
      <c r="C208" s="79" t="s">
        <v>136</v>
      </c>
      <c r="D208" s="67" t="s">
        <v>105</v>
      </c>
      <c r="E208" s="67" t="s">
        <v>15</v>
      </c>
      <c r="F208" s="67" t="s">
        <v>35</v>
      </c>
      <c r="G208" s="75" t="s">
        <v>46</v>
      </c>
      <c r="H208" s="68">
        <v>39693</v>
      </c>
      <c r="I208" s="68"/>
      <c r="K208" s="70">
        <v>3.26</v>
      </c>
      <c r="L208" s="48">
        <v>110</v>
      </c>
      <c r="M208" s="48"/>
      <c r="N208" s="71">
        <f t="shared" si="8"/>
        <v>33.742331288343557</v>
      </c>
      <c r="O208" s="48" t="s">
        <v>5</v>
      </c>
      <c r="P208" s="83">
        <v>81.7</v>
      </c>
      <c r="Q208" s="83">
        <v>41.3</v>
      </c>
      <c r="R208" s="48">
        <v>3.67</v>
      </c>
      <c r="S208" s="83">
        <v>361.9</v>
      </c>
      <c r="T208" s="85">
        <v>4.4000000000000004</v>
      </c>
      <c r="U208" s="72">
        <f>N208*1000*X208/100</f>
        <v>371.16564417177915</v>
      </c>
      <c r="V208" s="72">
        <f>S208*U208/1000</f>
        <v>134.32484662576687</v>
      </c>
      <c r="W208" s="72">
        <f>P208*U208/1000</f>
        <v>30.324233128834358</v>
      </c>
      <c r="X208" s="72">
        <v>1.1000000000000001</v>
      </c>
      <c r="Y208" s="72">
        <v>37.116564417177919</v>
      </c>
      <c r="Z208" s="73">
        <v>22.269938650306752</v>
      </c>
      <c r="AA208" s="73">
        <v>67.484662576687114</v>
      </c>
      <c r="AB208" s="73">
        <v>3.3742331288343559</v>
      </c>
      <c r="AC208" s="72"/>
      <c r="AD208" s="72">
        <f>$N208*1000*$X208*0.01*$S208*0.001</f>
        <v>134.32484662576687</v>
      </c>
      <c r="AE208" s="72">
        <f>$N208*1000*$X208*0.01*$P208*0.001</f>
        <v>30.324233128834361</v>
      </c>
      <c r="AF208" s="72"/>
      <c r="AG208" s="72"/>
      <c r="AH208" s="74"/>
      <c r="AI208" s="83"/>
      <c r="AJ208" s="83"/>
      <c r="AK208" s="72"/>
      <c r="AL208" s="72"/>
    </row>
    <row r="209" spans="1:38">
      <c r="A209" s="65">
        <v>208</v>
      </c>
      <c r="B209" s="150">
        <v>2008</v>
      </c>
      <c r="C209" s="79" t="s">
        <v>136</v>
      </c>
      <c r="D209" s="67" t="s">
        <v>105</v>
      </c>
      <c r="E209" s="67" t="s">
        <v>23</v>
      </c>
      <c r="F209" s="67" t="s">
        <v>33</v>
      </c>
      <c r="G209" s="67" t="s">
        <v>34</v>
      </c>
      <c r="H209" s="68">
        <v>39719</v>
      </c>
      <c r="I209" s="68">
        <v>39720</v>
      </c>
      <c r="J209" s="69">
        <v>5</v>
      </c>
      <c r="K209" s="70">
        <v>3.26</v>
      </c>
      <c r="L209" s="48">
        <v>5</v>
      </c>
      <c r="M209" s="48"/>
      <c r="N209" s="71">
        <f t="shared" si="8"/>
        <v>1.5337423312883436</v>
      </c>
      <c r="O209" s="83" t="s">
        <v>68</v>
      </c>
      <c r="P209" s="72"/>
      <c r="Q209" s="72"/>
      <c r="R209" s="72"/>
      <c r="S209" s="72"/>
      <c r="T209" s="48"/>
      <c r="U209" s="48"/>
      <c r="V209" s="48"/>
      <c r="W209" s="48"/>
      <c r="X209" s="72">
        <v>37</v>
      </c>
      <c r="Y209" s="72"/>
      <c r="Z209" s="72"/>
      <c r="AA209" s="72"/>
      <c r="AB209" s="72"/>
      <c r="AC209" s="72">
        <f>N209*AG209*X209*0.01</f>
        <v>349.00306748466261</v>
      </c>
      <c r="AD209" s="72">
        <f>AC209*0.4089</f>
        <v>142.70735429447853</v>
      </c>
      <c r="AE209" s="72">
        <f>AC209*0.0263</f>
        <v>9.1787806748466263</v>
      </c>
      <c r="AF209" s="72"/>
      <c r="AG209" s="72">
        <v>615</v>
      </c>
      <c r="AI209" s="48"/>
      <c r="AJ209" s="48"/>
      <c r="AK209" s="72"/>
      <c r="AL209" s="72"/>
    </row>
    <row r="210" spans="1:38">
      <c r="A210" s="65">
        <v>209</v>
      </c>
      <c r="B210" s="150">
        <v>2008</v>
      </c>
      <c r="C210" s="79" t="s">
        <v>136</v>
      </c>
      <c r="D210" s="67" t="s">
        <v>105</v>
      </c>
      <c r="E210" s="67" t="s">
        <v>21</v>
      </c>
      <c r="F210" s="67" t="s">
        <v>36</v>
      </c>
      <c r="G210" s="67" t="s">
        <v>48</v>
      </c>
      <c r="H210" s="68">
        <v>39721</v>
      </c>
      <c r="I210" s="68"/>
      <c r="K210" s="70">
        <v>3.26</v>
      </c>
      <c r="L210" s="48">
        <v>55</v>
      </c>
      <c r="M210" s="48"/>
      <c r="N210" s="71">
        <f t="shared" si="8"/>
        <v>16.871165644171779</v>
      </c>
      <c r="O210" s="48" t="s">
        <v>3</v>
      </c>
      <c r="P210" s="72"/>
      <c r="Q210" s="72"/>
      <c r="R210" s="48"/>
      <c r="S210" s="72"/>
      <c r="T210" s="72"/>
      <c r="U210" s="72"/>
      <c r="V210" s="72"/>
      <c r="W210" s="72"/>
      <c r="X210" s="72"/>
      <c r="Y210" s="72"/>
      <c r="Z210" s="72"/>
      <c r="AA210" s="72"/>
      <c r="AB210" s="72"/>
      <c r="AC210" s="72"/>
      <c r="AD210" s="72"/>
      <c r="AE210" s="72"/>
      <c r="AF210" s="72"/>
      <c r="AG210" s="72"/>
      <c r="AH210" s="74"/>
      <c r="AI210" s="72"/>
      <c r="AJ210" s="72"/>
      <c r="AK210" s="72"/>
      <c r="AL210" s="72"/>
    </row>
    <row r="211" spans="1:38">
      <c r="A211" s="65">
        <v>210</v>
      </c>
      <c r="B211" s="150">
        <v>2008</v>
      </c>
      <c r="C211" s="79" t="s">
        <v>136</v>
      </c>
      <c r="D211" s="67" t="s">
        <v>105</v>
      </c>
      <c r="E211" s="67" t="s">
        <v>23</v>
      </c>
      <c r="F211" s="67" t="s">
        <v>33</v>
      </c>
      <c r="G211" s="67" t="s">
        <v>34</v>
      </c>
      <c r="H211" s="68">
        <v>39746</v>
      </c>
      <c r="I211" s="68">
        <v>39747</v>
      </c>
      <c r="J211" s="69">
        <v>6</v>
      </c>
      <c r="K211" s="70">
        <v>3.26</v>
      </c>
      <c r="L211" s="48">
        <v>6</v>
      </c>
      <c r="M211" s="48"/>
      <c r="N211" s="71">
        <f t="shared" si="8"/>
        <v>1.8404907975460123</v>
      </c>
      <c r="O211" s="83" t="s">
        <v>68</v>
      </c>
      <c r="P211" s="72"/>
      <c r="Q211" s="72"/>
      <c r="R211" s="72"/>
      <c r="S211" s="72"/>
      <c r="T211" s="48"/>
      <c r="U211" s="48"/>
      <c r="V211" s="48"/>
      <c r="W211" s="48"/>
      <c r="X211" s="72">
        <v>37</v>
      </c>
      <c r="Y211" s="72"/>
      <c r="Z211" s="72"/>
      <c r="AA211" s="72"/>
      <c r="AB211" s="72"/>
      <c r="AC211" s="72">
        <f>N211*AG211*X211*0.01</f>
        <v>418.80368098159516</v>
      </c>
      <c r="AD211" s="72">
        <f>AC211*0.4089</f>
        <v>171.24882515337427</v>
      </c>
      <c r="AE211" s="72">
        <f>AC211*0.0263</f>
        <v>11.014536809815953</v>
      </c>
      <c r="AF211" s="72"/>
      <c r="AG211" s="72">
        <v>615</v>
      </c>
      <c r="AI211" s="48"/>
      <c r="AJ211" s="48"/>
      <c r="AK211" s="72"/>
      <c r="AL211" s="72"/>
    </row>
    <row r="212" spans="1:38">
      <c r="A212" s="65">
        <v>211</v>
      </c>
      <c r="B212" s="150">
        <v>2008</v>
      </c>
      <c r="C212" s="79" t="s">
        <v>136</v>
      </c>
      <c r="D212" s="67" t="s">
        <v>105</v>
      </c>
      <c r="E212" s="67" t="s">
        <v>23</v>
      </c>
      <c r="F212" s="67" t="s">
        <v>27</v>
      </c>
      <c r="G212" s="67" t="s">
        <v>45</v>
      </c>
      <c r="H212" s="68">
        <v>39753</v>
      </c>
      <c r="I212" s="68">
        <v>39756</v>
      </c>
      <c r="J212" s="69">
        <v>6</v>
      </c>
      <c r="K212" s="70">
        <v>3.26</v>
      </c>
      <c r="L212" s="71">
        <v>80</v>
      </c>
      <c r="M212" s="71"/>
      <c r="N212" s="71">
        <f t="shared" si="8"/>
        <v>24.539877300613497</v>
      </c>
      <c r="O212" s="48" t="s">
        <v>64</v>
      </c>
      <c r="P212" s="72"/>
      <c r="Q212" s="72"/>
      <c r="R212" s="72"/>
      <c r="S212" s="72"/>
      <c r="T212" s="48"/>
      <c r="U212" s="48"/>
      <c r="V212" s="48"/>
      <c r="W212" s="48"/>
      <c r="X212" s="72"/>
      <c r="Y212" s="72"/>
      <c r="Z212" s="72"/>
      <c r="AA212" s="72"/>
      <c r="AB212" s="72"/>
      <c r="AC212" s="72">
        <f>N212*AG212*AF212</f>
        <v>110.42944785276075</v>
      </c>
      <c r="AD212" s="72">
        <f>$AC212*0.4089</f>
        <v>45.154601226993869</v>
      </c>
      <c r="AE212" s="72">
        <f>$AC212*0.0263</f>
        <v>2.9042944785276075</v>
      </c>
      <c r="AF212" s="72">
        <v>3</v>
      </c>
      <c r="AG212" s="72">
        <v>1.5</v>
      </c>
      <c r="AI212" s="48"/>
      <c r="AJ212" s="48"/>
      <c r="AK212" s="72"/>
      <c r="AL212" s="72"/>
    </row>
    <row r="213" spans="1:38">
      <c r="A213" s="65">
        <v>212</v>
      </c>
      <c r="B213" s="150">
        <v>2008</v>
      </c>
      <c r="C213" s="79" t="s">
        <v>136</v>
      </c>
      <c r="D213" s="67" t="s">
        <v>105</v>
      </c>
      <c r="E213" s="67" t="s">
        <v>23</v>
      </c>
      <c r="F213" s="67" t="s">
        <v>27</v>
      </c>
      <c r="G213" s="67" t="s">
        <v>45</v>
      </c>
      <c r="H213" s="68">
        <v>39793</v>
      </c>
      <c r="I213" s="68">
        <v>39799</v>
      </c>
      <c r="K213" s="70">
        <v>3.26</v>
      </c>
      <c r="L213" s="71">
        <v>45</v>
      </c>
      <c r="M213" s="71"/>
      <c r="N213" s="71">
        <f t="shared" si="8"/>
        <v>13.803680981595093</v>
      </c>
      <c r="O213" s="48" t="s">
        <v>64</v>
      </c>
      <c r="P213" s="72"/>
      <c r="Q213" s="72"/>
      <c r="R213" s="72"/>
      <c r="S213" s="72"/>
      <c r="T213" s="48"/>
      <c r="U213" s="48"/>
      <c r="V213" s="48"/>
      <c r="W213" s="48"/>
      <c r="X213" s="72"/>
      <c r="Y213" s="72"/>
      <c r="Z213" s="72"/>
      <c r="AA213" s="72"/>
      <c r="AB213" s="72"/>
      <c r="AC213" s="72">
        <f>N213*AG213*AF213</f>
        <v>124.23312883435584</v>
      </c>
      <c r="AD213" s="72">
        <f>$AC213*0.4089</f>
        <v>50.798926380368101</v>
      </c>
      <c r="AE213" s="72">
        <f>$AC213*0.0263</f>
        <v>3.2673312883435588</v>
      </c>
      <c r="AF213" s="72">
        <v>6</v>
      </c>
      <c r="AG213" s="72">
        <v>1.5</v>
      </c>
      <c r="AI213" s="48"/>
      <c r="AJ213" s="48"/>
      <c r="AK213" s="72"/>
      <c r="AL213" s="72"/>
    </row>
    <row r="214" spans="1:38">
      <c r="A214" s="65">
        <v>213</v>
      </c>
      <c r="B214" s="151">
        <v>2009</v>
      </c>
      <c r="C214" s="66" t="s">
        <v>135</v>
      </c>
      <c r="D214" s="67" t="s">
        <v>105</v>
      </c>
      <c r="E214" s="67" t="s">
        <v>15</v>
      </c>
      <c r="F214" s="67" t="s">
        <v>35</v>
      </c>
      <c r="G214" s="67" t="s">
        <v>46</v>
      </c>
      <c r="H214" s="68">
        <v>39870</v>
      </c>
      <c r="I214" s="68"/>
      <c r="K214" s="70">
        <v>1.42</v>
      </c>
      <c r="L214" s="48">
        <v>100</v>
      </c>
      <c r="M214" s="48"/>
      <c r="N214" s="71">
        <f t="shared" si="8"/>
        <v>70.422535211267615</v>
      </c>
      <c r="O214" s="48" t="s">
        <v>5</v>
      </c>
      <c r="P214" s="72">
        <v>39.75</v>
      </c>
      <c r="Q214" s="72">
        <v>16.77</v>
      </c>
      <c r="R214" s="48">
        <v>1.24</v>
      </c>
      <c r="S214" s="72">
        <v>382.49</v>
      </c>
      <c r="T214" s="73">
        <v>9.6199999999999992</v>
      </c>
      <c r="U214" s="72">
        <f>N214*1000*X214/100</f>
        <v>1133.8028169014087</v>
      </c>
      <c r="V214" s="72">
        <f>S214*U214/1000</f>
        <v>433.66823943661984</v>
      </c>
      <c r="W214" s="72">
        <f>P214*U214/1000</f>
        <v>45.068661971830998</v>
      </c>
      <c r="X214" s="72">
        <v>1.61</v>
      </c>
      <c r="Y214" s="72">
        <v>77.464788732394382</v>
      </c>
      <c r="Z214" s="73">
        <v>46.478873239436624</v>
      </c>
      <c r="AA214" s="73">
        <v>140.84507042253523</v>
      </c>
      <c r="AB214" s="73">
        <v>7.042253521126761</v>
      </c>
      <c r="AC214" s="72"/>
      <c r="AD214" s="72">
        <f>$N214*1000*$X214*0.01*$S214*0.001</f>
        <v>433.66823943661984</v>
      </c>
      <c r="AE214" s="72">
        <f>$N214*1000*$X214*0.01*$P214*0.001</f>
        <v>45.068661971830998</v>
      </c>
      <c r="AF214" s="72"/>
      <c r="AG214" s="72"/>
      <c r="AH214" s="74"/>
      <c r="AI214" s="72"/>
      <c r="AJ214" s="72"/>
      <c r="AK214" s="72"/>
      <c r="AL214" s="72"/>
    </row>
    <row r="215" spans="1:38">
      <c r="A215" s="65">
        <v>214</v>
      </c>
      <c r="B215" s="151">
        <v>2009</v>
      </c>
      <c r="C215" s="66" t="s">
        <v>135</v>
      </c>
      <c r="D215" s="67" t="s">
        <v>105</v>
      </c>
      <c r="E215" s="67" t="s">
        <v>23</v>
      </c>
      <c r="F215" s="67" t="s">
        <v>27</v>
      </c>
      <c r="G215" s="67" t="s">
        <v>45</v>
      </c>
      <c r="H215" s="68">
        <v>39910</v>
      </c>
      <c r="I215" s="68">
        <v>39923</v>
      </c>
      <c r="J215" s="69">
        <v>1</v>
      </c>
      <c r="K215" s="70">
        <v>1.42</v>
      </c>
      <c r="L215" s="71">
        <v>100</v>
      </c>
      <c r="M215" s="71"/>
      <c r="N215" s="71">
        <f t="shared" si="8"/>
        <v>70.422535211267615</v>
      </c>
      <c r="O215" s="48" t="s">
        <v>64</v>
      </c>
      <c r="P215" s="72"/>
      <c r="Q215" s="72"/>
      <c r="R215" s="72"/>
      <c r="S215" s="72"/>
      <c r="T215" s="72"/>
      <c r="U215" s="72"/>
      <c r="V215" s="72"/>
      <c r="W215" s="72"/>
      <c r="X215" s="72"/>
      <c r="Y215" s="72"/>
      <c r="Z215" s="72"/>
      <c r="AA215" s="72"/>
      <c r="AB215" s="72"/>
      <c r="AC215" s="72">
        <f>N215*AG215*AF215</f>
        <v>1373.2394366197184</v>
      </c>
      <c r="AD215" s="72">
        <f>$AC215*0.4089</f>
        <v>561.51760563380287</v>
      </c>
      <c r="AE215" s="72">
        <f>$AC215*0.0263</f>
        <v>36.116197183098592</v>
      </c>
      <c r="AF215" s="72">
        <v>13</v>
      </c>
      <c r="AG215" s="72">
        <v>1.5</v>
      </c>
      <c r="AI215" s="72"/>
      <c r="AJ215" s="72"/>
      <c r="AK215" s="72"/>
      <c r="AL215" s="72"/>
    </row>
    <row r="216" spans="1:38">
      <c r="A216" s="65">
        <v>215</v>
      </c>
      <c r="B216" s="151">
        <v>2009</v>
      </c>
      <c r="C216" s="66" t="s">
        <v>135</v>
      </c>
      <c r="D216" s="67" t="s">
        <v>105</v>
      </c>
      <c r="E216" s="67" t="s">
        <v>23</v>
      </c>
      <c r="F216" s="67" t="s">
        <v>27</v>
      </c>
      <c r="G216" s="67" t="s">
        <v>45</v>
      </c>
      <c r="H216" s="68">
        <v>39945</v>
      </c>
      <c r="I216" s="68">
        <v>39959</v>
      </c>
      <c r="J216" s="69">
        <v>2</v>
      </c>
      <c r="K216" s="70">
        <v>1.42</v>
      </c>
      <c r="L216" s="71">
        <v>105</v>
      </c>
      <c r="M216" s="71"/>
      <c r="N216" s="71">
        <f t="shared" si="8"/>
        <v>73.943661971830991</v>
      </c>
      <c r="O216" s="48" t="s">
        <v>64</v>
      </c>
      <c r="P216" s="72"/>
      <c r="Q216" s="72"/>
      <c r="R216" s="72"/>
      <c r="S216" s="72"/>
      <c r="T216" s="72"/>
      <c r="U216" s="72"/>
      <c r="V216" s="72"/>
      <c r="W216" s="72"/>
      <c r="X216" s="72"/>
      <c r="Y216" s="72"/>
      <c r="Z216" s="72"/>
      <c r="AA216" s="72"/>
      <c r="AB216" s="72"/>
      <c r="AC216" s="72">
        <f>N216*AG216*AF216</f>
        <v>1552.816901408451</v>
      </c>
      <c r="AD216" s="72">
        <f>$AC216*0.4089</f>
        <v>634.94683098591565</v>
      </c>
      <c r="AE216" s="72">
        <f>$AC216*0.0263</f>
        <v>40.839084507042266</v>
      </c>
      <c r="AF216" s="72">
        <v>14</v>
      </c>
      <c r="AG216" s="72">
        <v>1.5</v>
      </c>
      <c r="AI216" s="72"/>
      <c r="AJ216" s="72"/>
      <c r="AK216" s="72"/>
      <c r="AL216" s="72"/>
    </row>
    <row r="217" spans="1:38">
      <c r="A217" s="65">
        <v>216</v>
      </c>
      <c r="B217" s="151">
        <v>2009</v>
      </c>
      <c r="C217" s="66" t="s">
        <v>135</v>
      </c>
      <c r="D217" s="67" t="s">
        <v>105</v>
      </c>
      <c r="E217" s="67" t="s">
        <v>23</v>
      </c>
      <c r="F217" s="67" t="s">
        <v>33</v>
      </c>
      <c r="G217" s="67" t="s">
        <v>34</v>
      </c>
      <c r="H217" s="68">
        <v>39952</v>
      </c>
      <c r="I217" s="68">
        <v>39953</v>
      </c>
      <c r="J217" s="69">
        <v>2</v>
      </c>
      <c r="K217" s="70">
        <v>1.42</v>
      </c>
      <c r="L217" s="48">
        <v>0.5</v>
      </c>
      <c r="M217" s="48"/>
      <c r="N217" s="71">
        <f t="shared" si="8"/>
        <v>0.35211267605633806</v>
      </c>
      <c r="O217" s="48" t="s">
        <v>65</v>
      </c>
      <c r="P217" s="72"/>
      <c r="Q217" s="72"/>
      <c r="R217" s="72"/>
      <c r="S217" s="72"/>
      <c r="T217" s="72"/>
      <c r="U217" s="72"/>
      <c r="V217" s="72"/>
      <c r="W217" s="72"/>
      <c r="X217" s="72">
        <v>37</v>
      </c>
      <c r="Y217" s="72"/>
      <c r="Z217" s="72"/>
      <c r="AA217" s="72"/>
      <c r="AB217" s="72"/>
      <c r="AC217" s="72">
        <f>N217*AG217*X217*0.01</f>
        <v>390.84507042253529</v>
      </c>
      <c r="AD217" s="72">
        <f>AC217*0.4089</f>
        <v>159.81654929577468</v>
      </c>
      <c r="AE217" s="72">
        <f>AC217*0.0263</f>
        <v>10.279225352112679</v>
      </c>
      <c r="AF217" s="72"/>
      <c r="AG217" s="72">
        <v>3000</v>
      </c>
      <c r="AI217" s="72"/>
      <c r="AJ217" s="72"/>
      <c r="AK217" s="72"/>
      <c r="AL217" s="72"/>
    </row>
    <row r="218" spans="1:38">
      <c r="A218" s="65">
        <v>217</v>
      </c>
      <c r="B218" s="151">
        <v>2009</v>
      </c>
      <c r="C218" s="66" t="s">
        <v>135</v>
      </c>
      <c r="D218" s="67" t="s">
        <v>105</v>
      </c>
      <c r="E218" s="67" t="s">
        <v>15</v>
      </c>
      <c r="F218" s="67" t="s">
        <v>35</v>
      </c>
      <c r="G218" s="67" t="s">
        <v>46</v>
      </c>
      <c r="H218" s="68">
        <v>39960</v>
      </c>
      <c r="I218" s="68"/>
      <c r="K218" s="70">
        <v>1.42</v>
      </c>
      <c r="L218" s="48">
        <v>40</v>
      </c>
      <c r="M218" s="48"/>
      <c r="N218" s="71">
        <f t="shared" si="8"/>
        <v>28.169014084507044</v>
      </c>
      <c r="O218" s="48" t="s">
        <v>5</v>
      </c>
      <c r="P218" s="72">
        <v>119.16</v>
      </c>
      <c r="Q218" s="72">
        <v>44.31</v>
      </c>
      <c r="R218" s="72" t="s">
        <v>60</v>
      </c>
      <c r="S218" s="72">
        <v>391.83</v>
      </c>
      <c r="T218" s="73">
        <v>3.29</v>
      </c>
      <c r="U218" s="72">
        <f>N218*1000*X218/100</f>
        <v>470.42253521126759</v>
      </c>
      <c r="V218" s="72">
        <f>S218*U218/1000</f>
        <v>184.32566197183095</v>
      </c>
      <c r="W218" s="72">
        <f>P218*U218/1000</f>
        <v>56.055549295774647</v>
      </c>
      <c r="X218" s="72">
        <v>1.67</v>
      </c>
      <c r="Y218" s="72">
        <v>30.985915492957748</v>
      </c>
      <c r="Z218" s="73">
        <v>18.591549295774652</v>
      </c>
      <c r="AA218" s="73">
        <v>56.338028169014088</v>
      </c>
      <c r="AB218" s="73">
        <v>2.8169014084507045</v>
      </c>
      <c r="AC218" s="72"/>
      <c r="AD218" s="72">
        <f>$N218*1000*$X218*0.01*$S218*0.001</f>
        <v>184.32566197183098</v>
      </c>
      <c r="AE218" s="72">
        <f>$N218*1000*$X218*0.01*$P218*0.001</f>
        <v>56.055549295774647</v>
      </c>
      <c r="AF218" s="72"/>
      <c r="AG218" s="72"/>
      <c r="AH218" s="74"/>
      <c r="AI218" s="72"/>
      <c r="AJ218" s="72"/>
      <c r="AK218" s="72"/>
      <c r="AL218" s="72"/>
    </row>
    <row r="219" spans="1:38">
      <c r="A219" s="65">
        <v>218</v>
      </c>
      <c r="B219" s="151">
        <v>2009</v>
      </c>
      <c r="C219" s="66" t="s">
        <v>135</v>
      </c>
      <c r="D219" s="67" t="s">
        <v>105</v>
      </c>
      <c r="E219" s="67" t="s">
        <v>23</v>
      </c>
      <c r="F219" s="67" t="s">
        <v>33</v>
      </c>
      <c r="G219" s="67" t="s">
        <v>43</v>
      </c>
      <c r="H219" s="68">
        <v>39995</v>
      </c>
      <c r="I219" s="68">
        <v>39998</v>
      </c>
      <c r="J219" s="69">
        <v>3</v>
      </c>
      <c r="K219" s="70">
        <v>1.42</v>
      </c>
      <c r="L219" s="48">
        <v>180</v>
      </c>
      <c r="M219" s="48"/>
      <c r="N219" s="71">
        <f t="shared" si="8"/>
        <v>126.7605633802817</v>
      </c>
      <c r="O219" s="48" t="s">
        <v>69</v>
      </c>
      <c r="P219" s="72"/>
      <c r="Q219" s="72"/>
      <c r="R219" s="72"/>
      <c r="S219" s="72"/>
      <c r="T219" s="72"/>
      <c r="U219" s="72"/>
      <c r="V219" s="72"/>
      <c r="W219" s="72"/>
      <c r="X219" s="72">
        <v>86</v>
      </c>
      <c r="Y219" s="72"/>
      <c r="Z219" s="72"/>
      <c r="AA219" s="72"/>
      <c r="AB219" s="72"/>
      <c r="AC219" s="72">
        <f>N219*AG219*X219*0.01</f>
        <v>2888.8732394366198</v>
      </c>
      <c r="AD219" s="72">
        <f>AC219*0.4089</f>
        <v>1181.2602676056338</v>
      </c>
      <c r="AE219" s="72">
        <f>AC219*0.0263</f>
        <v>75.977366197183102</v>
      </c>
      <c r="AF219" s="72"/>
      <c r="AG219" s="72">
        <v>26.5</v>
      </c>
      <c r="AI219" s="72"/>
      <c r="AJ219" s="72"/>
      <c r="AK219" s="72"/>
      <c r="AL219" s="72"/>
    </row>
    <row r="220" spans="1:38">
      <c r="A220" s="65">
        <v>219</v>
      </c>
      <c r="B220" s="151">
        <v>2009</v>
      </c>
      <c r="C220" s="66" t="s">
        <v>135</v>
      </c>
      <c r="D220" s="67" t="s">
        <v>105</v>
      </c>
      <c r="E220" s="67" t="s">
        <v>15</v>
      </c>
      <c r="F220" s="67" t="s">
        <v>35</v>
      </c>
      <c r="G220" s="67" t="s">
        <v>46</v>
      </c>
      <c r="H220" s="68">
        <v>40002</v>
      </c>
      <c r="I220" s="68"/>
      <c r="K220" s="70">
        <v>1.42</v>
      </c>
      <c r="L220" s="48">
        <v>50</v>
      </c>
      <c r="M220" s="48"/>
      <c r="N220" s="71">
        <f t="shared" si="8"/>
        <v>35.211267605633807</v>
      </c>
      <c r="O220" s="48" t="s">
        <v>5</v>
      </c>
      <c r="P220" s="72">
        <v>82.05</v>
      </c>
      <c r="Q220" s="72">
        <v>47.44</v>
      </c>
      <c r="R220" s="72" t="s">
        <v>60</v>
      </c>
      <c r="S220" s="72">
        <v>393.57</v>
      </c>
      <c r="T220" s="73">
        <v>4.8</v>
      </c>
      <c r="U220" s="72">
        <f>N220*1000*X220/100</f>
        <v>549.29577464788747</v>
      </c>
      <c r="V220" s="72">
        <f>S220*U220/1000</f>
        <v>216.18633802816908</v>
      </c>
      <c r="W220" s="72">
        <f>P220*U220/1000</f>
        <v>45.069718309859162</v>
      </c>
      <c r="X220" s="72">
        <v>1.56</v>
      </c>
      <c r="Y220" s="72">
        <v>24.647887323943664</v>
      </c>
      <c r="Z220" s="73">
        <v>21.126760563380284</v>
      </c>
      <c r="AA220" s="73">
        <v>91.549295774647888</v>
      </c>
      <c r="AB220" s="73">
        <v>3.5211267605633805</v>
      </c>
      <c r="AC220" s="72"/>
      <c r="AD220" s="72">
        <f>$N220*1000*$X220*0.01*$S220*0.001</f>
        <v>216.18633802816908</v>
      </c>
      <c r="AE220" s="72">
        <f>$N220*1000*$X220*0.01*$P220*0.001</f>
        <v>45.069718309859162</v>
      </c>
      <c r="AF220" s="72"/>
      <c r="AG220" s="72"/>
      <c r="AH220" s="74"/>
      <c r="AI220" s="72"/>
      <c r="AJ220" s="72"/>
      <c r="AK220" s="72"/>
      <c r="AL220" s="72"/>
    </row>
    <row r="221" spans="1:38">
      <c r="A221" s="65">
        <v>220</v>
      </c>
      <c r="B221" s="151">
        <v>2009</v>
      </c>
      <c r="C221" s="66" t="s">
        <v>135</v>
      </c>
      <c r="D221" s="67" t="s">
        <v>105</v>
      </c>
      <c r="E221" s="67" t="s">
        <v>23</v>
      </c>
      <c r="F221" s="67" t="s">
        <v>33</v>
      </c>
      <c r="G221" s="67" t="s">
        <v>43</v>
      </c>
      <c r="H221" s="68">
        <v>40030</v>
      </c>
      <c r="I221" s="68">
        <v>40032</v>
      </c>
      <c r="J221" s="69">
        <v>4</v>
      </c>
      <c r="K221" s="70">
        <v>1.42</v>
      </c>
      <c r="L221" s="48">
        <v>216</v>
      </c>
      <c r="M221" s="48"/>
      <c r="N221" s="71">
        <f t="shared" si="8"/>
        <v>152.11267605633805</v>
      </c>
      <c r="O221" s="48" t="s">
        <v>69</v>
      </c>
      <c r="P221" s="72"/>
      <c r="Q221" s="72"/>
      <c r="R221" s="72"/>
      <c r="S221" s="72"/>
      <c r="T221" s="72"/>
      <c r="U221" s="72"/>
      <c r="V221" s="72"/>
      <c r="W221" s="72"/>
      <c r="X221" s="72">
        <v>86</v>
      </c>
      <c r="Y221" s="72"/>
      <c r="Z221" s="72"/>
      <c r="AA221" s="72"/>
      <c r="AB221" s="72"/>
      <c r="AC221" s="72">
        <f>N221*AG221*X221*0.01</f>
        <v>3466.6478873239439</v>
      </c>
      <c r="AD221" s="72">
        <f>AC221*0.4089</f>
        <v>1417.5123211267605</v>
      </c>
      <c r="AE221" s="72">
        <f>AC221*0.0263</f>
        <v>91.172839436619725</v>
      </c>
      <c r="AF221" s="72"/>
      <c r="AG221" s="72">
        <v>26.5</v>
      </c>
      <c r="AI221" s="72"/>
      <c r="AJ221" s="72"/>
      <c r="AK221" s="72"/>
      <c r="AL221" s="72"/>
    </row>
    <row r="222" spans="1:38">
      <c r="A222" s="65">
        <v>221</v>
      </c>
      <c r="B222" s="151">
        <v>2009</v>
      </c>
      <c r="C222" s="66" t="s">
        <v>135</v>
      </c>
      <c r="D222" s="67" t="s">
        <v>105</v>
      </c>
      <c r="E222" s="67" t="s">
        <v>15</v>
      </c>
      <c r="F222" s="67" t="s">
        <v>35</v>
      </c>
      <c r="G222" s="67" t="s">
        <v>46</v>
      </c>
      <c r="H222" s="68">
        <v>40037</v>
      </c>
      <c r="I222" s="68"/>
      <c r="K222" s="70">
        <v>1.42</v>
      </c>
      <c r="L222" s="48">
        <v>32</v>
      </c>
      <c r="M222" s="48"/>
      <c r="N222" s="71">
        <f t="shared" ref="N222:N228" si="9">IF(L222/K222&gt;0, L222/K222,"")</f>
        <v>22.535211267605636</v>
      </c>
      <c r="O222" s="48" t="s">
        <v>5</v>
      </c>
      <c r="P222" s="72">
        <v>57.79</v>
      </c>
      <c r="Q222" s="72">
        <v>29.22</v>
      </c>
      <c r="R222" s="48">
        <v>1.3</v>
      </c>
      <c r="S222" s="72">
        <v>412.35</v>
      </c>
      <c r="T222" s="73">
        <v>7.14</v>
      </c>
      <c r="U222" s="72">
        <f>N222*1000*X222/100</f>
        <v>347.04225352112678</v>
      </c>
      <c r="V222" s="72">
        <f>S222*U222/1000</f>
        <v>143.10287323943663</v>
      </c>
      <c r="W222" s="72">
        <f>P222*U222/1000</f>
        <v>20.055571830985915</v>
      </c>
      <c r="X222" s="72">
        <v>1.54</v>
      </c>
      <c r="Y222" s="72">
        <v>15.774647887323944</v>
      </c>
      <c r="Z222" s="73">
        <v>13.52112676056338</v>
      </c>
      <c r="AA222" s="73">
        <v>58.591549295774655</v>
      </c>
      <c r="AB222" s="73">
        <v>2.2535211267605635</v>
      </c>
      <c r="AC222" s="72"/>
      <c r="AD222" s="72">
        <f>$N222*1000*$X222*0.01*$S222*0.001</f>
        <v>143.10287323943663</v>
      </c>
      <c r="AE222" s="72">
        <f>$N222*1000*$X222*0.01*$P222*0.001</f>
        <v>20.055571830985915</v>
      </c>
      <c r="AF222" s="72"/>
      <c r="AG222" s="72"/>
      <c r="AH222" s="74"/>
      <c r="AI222" s="72"/>
      <c r="AJ222" s="72"/>
      <c r="AK222" s="72"/>
      <c r="AL222" s="72"/>
    </row>
    <row r="223" spans="1:38">
      <c r="A223" s="65">
        <v>222</v>
      </c>
      <c r="B223" s="151">
        <v>2009</v>
      </c>
      <c r="C223" s="66" t="s">
        <v>135</v>
      </c>
      <c r="D223" s="67" t="s">
        <v>105</v>
      </c>
      <c r="E223" s="67" t="s">
        <v>23</v>
      </c>
      <c r="F223" s="67" t="s">
        <v>33</v>
      </c>
      <c r="G223" s="78" t="s">
        <v>41</v>
      </c>
      <c r="H223" s="68">
        <v>40055</v>
      </c>
      <c r="I223" s="68">
        <v>40057</v>
      </c>
      <c r="J223" s="69">
        <v>5</v>
      </c>
      <c r="K223" s="70">
        <v>1.42</v>
      </c>
      <c r="L223" s="48">
        <v>2.5</v>
      </c>
      <c r="M223" s="48"/>
      <c r="N223" s="71">
        <f t="shared" si="9"/>
        <v>1.7605633802816902</v>
      </c>
      <c r="O223" s="48" t="s">
        <v>65</v>
      </c>
      <c r="P223" s="72"/>
      <c r="Q223" s="72"/>
      <c r="R223" s="72"/>
      <c r="S223" s="72"/>
      <c r="T223" s="72"/>
      <c r="U223" s="72"/>
      <c r="V223" s="72"/>
      <c r="W223" s="72"/>
      <c r="X223" s="72">
        <v>70</v>
      </c>
      <c r="Y223" s="72"/>
      <c r="Z223" s="72"/>
      <c r="AA223" s="72"/>
      <c r="AB223" s="72"/>
      <c r="AC223" s="72">
        <f>N223*AG223*X223*0.01</f>
        <v>1848.5915492957747</v>
      </c>
      <c r="AD223" s="72">
        <f>AC223*0.4089</f>
        <v>755.8890845070423</v>
      </c>
      <c r="AE223" s="72">
        <f>AC223*0.0263</f>
        <v>48.617957746478879</v>
      </c>
      <c r="AF223" s="72"/>
      <c r="AG223" s="72">
        <v>1500</v>
      </c>
      <c r="AI223" s="72"/>
      <c r="AJ223" s="72"/>
      <c r="AK223" s="72"/>
      <c r="AL223" s="72"/>
    </row>
    <row r="224" spans="1:38">
      <c r="A224" s="65">
        <v>223</v>
      </c>
      <c r="B224" s="151">
        <v>2009</v>
      </c>
      <c r="C224" s="66" t="s">
        <v>135</v>
      </c>
      <c r="D224" s="67" t="s">
        <v>105</v>
      </c>
      <c r="E224" s="67" t="s">
        <v>15</v>
      </c>
      <c r="F224" s="67" t="s">
        <v>35</v>
      </c>
      <c r="G224" s="67" t="s">
        <v>46</v>
      </c>
      <c r="H224" s="68">
        <v>40060</v>
      </c>
      <c r="I224" s="68"/>
      <c r="K224" s="70">
        <v>1.42</v>
      </c>
      <c r="L224" s="48">
        <v>84</v>
      </c>
      <c r="M224" s="48"/>
      <c r="N224" s="71">
        <f t="shared" si="9"/>
        <v>59.154929577464792</v>
      </c>
      <c r="O224" s="48" t="s">
        <v>5</v>
      </c>
      <c r="P224" s="72">
        <v>87.06</v>
      </c>
      <c r="Q224" s="72">
        <v>51.76</v>
      </c>
      <c r="R224" s="72" t="s">
        <v>60</v>
      </c>
      <c r="S224" s="72">
        <v>327.13</v>
      </c>
      <c r="T224" s="73">
        <v>3.76</v>
      </c>
      <c r="U224" s="72">
        <f>N224*1000*X224/100</f>
        <v>502.81690140845075</v>
      </c>
      <c r="V224" s="72">
        <f>S224*U224/1000</f>
        <v>164.48649295774649</v>
      </c>
      <c r="W224" s="72">
        <f>P224*U224/1000</f>
        <v>43.775239436619728</v>
      </c>
      <c r="X224" s="72">
        <v>0.85</v>
      </c>
      <c r="Y224" s="72">
        <v>65.070422535211279</v>
      </c>
      <c r="Z224" s="73">
        <v>39.042253521126767</v>
      </c>
      <c r="AA224" s="73">
        <v>118.30985915492958</v>
      </c>
      <c r="AB224" s="73">
        <v>5.915492957746479</v>
      </c>
      <c r="AC224" s="72"/>
      <c r="AD224" s="72">
        <f>$N224*1000*$X224*0.01*$S224*0.001</f>
        <v>164.48649295774649</v>
      </c>
      <c r="AE224" s="72">
        <f>$N224*1000*$X224*0.01*$P224*0.001</f>
        <v>43.775239436619728</v>
      </c>
      <c r="AF224" s="72"/>
      <c r="AG224" s="72"/>
      <c r="AH224" s="74"/>
      <c r="AI224" s="72"/>
      <c r="AJ224" s="72"/>
      <c r="AK224" s="72"/>
      <c r="AL224" s="72"/>
    </row>
    <row r="225" spans="1:38">
      <c r="A225" s="65">
        <v>224</v>
      </c>
      <c r="B225" s="151">
        <v>2009</v>
      </c>
      <c r="C225" s="66" t="s">
        <v>135</v>
      </c>
      <c r="D225" s="67" t="s">
        <v>105</v>
      </c>
      <c r="E225" s="67" t="s">
        <v>23</v>
      </c>
      <c r="F225" s="67" t="s">
        <v>27</v>
      </c>
      <c r="G225" s="67" t="s">
        <v>45</v>
      </c>
      <c r="H225" s="68">
        <v>40099</v>
      </c>
      <c r="I225" s="68">
        <v>40102</v>
      </c>
      <c r="J225" s="69">
        <v>6</v>
      </c>
      <c r="K225" s="70">
        <v>1.42</v>
      </c>
      <c r="L225" s="71">
        <v>100</v>
      </c>
      <c r="M225" s="71"/>
      <c r="N225" s="71">
        <f t="shared" si="9"/>
        <v>70.422535211267615</v>
      </c>
      <c r="O225" s="48" t="s">
        <v>64</v>
      </c>
      <c r="P225" s="72"/>
      <c r="Q225" s="72"/>
      <c r="R225" s="72"/>
      <c r="S225" s="72"/>
      <c r="T225" s="72"/>
      <c r="U225" s="72"/>
      <c r="V225" s="72"/>
      <c r="W225" s="72"/>
      <c r="X225" s="72"/>
      <c r="Y225" s="72"/>
      <c r="Z225" s="72"/>
      <c r="AA225" s="72"/>
      <c r="AB225" s="72"/>
      <c r="AC225" s="72">
        <f>N225*AG225*AF225</f>
        <v>316.90140845070425</v>
      </c>
      <c r="AD225" s="72">
        <f>$AC225*0.4089</f>
        <v>129.58098591549296</v>
      </c>
      <c r="AE225" s="72">
        <f>$AC225*0.0263</f>
        <v>8.3345070422535219</v>
      </c>
      <c r="AF225" s="72">
        <v>3</v>
      </c>
      <c r="AG225" s="72">
        <v>1.5</v>
      </c>
      <c r="AI225" s="72"/>
      <c r="AJ225" s="72"/>
      <c r="AK225" s="72"/>
      <c r="AL225" s="72"/>
    </row>
    <row r="226" spans="1:38">
      <c r="A226" s="65">
        <v>225</v>
      </c>
      <c r="B226" s="151">
        <v>2009</v>
      </c>
      <c r="C226" s="66" t="s">
        <v>135</v>
      </c>
      <c r="D226" s="67" t="s">
        <v>105</v>
      </c>
      <c r="E226" s="67" t="s">
        <v>23</v>
      </c>
      <c r="F226" s="67" t="s">
        <v>33</v>
      </c>
      <c r="G226" s="75" t="s">
        <v>34</v>
      </c>
      <c r="H226" s="68">
        <v>40106</v>
      </c>
      <c r="I226" s="68">
        <v>40107</v>
      </c>
      <c r="J226" s="69">
        <v>6</v>
      </c>
      <c r="K226" s="70">
        <v>1.42</v>
      </c>
      <c r="L226" s="48">
        <v>4</v>
      </c>
      <c r="M226" s="48"/>
      <c r="N226" s="71">
        <f t="shared" si="9"/>
        <v>2.8169014084507045</v>
      </c>
      <c r="O226" s="83" t="s">
        <v>68</v>
      </c>
      <c r="P226" s="72"/>
      <c r="Q226" s="72"/>
      <c r="R226" s="72"/>
      <c r="S226" s="72"/>
      <c r="T226" s="72"/>
      <c r="U226" s="72"/>
      <c r="V226" s="72"/>
      <c r="W226" s="72"/>
      <c r="X226" s="72">
        <v>37</v>
      </c>
      <c r="Y226" s="72"/>
      <c r="Z226" s="72"/>
      <c r="AA226" s="72"/>
      <c r="AB226" s="72"/>
      <c r="AC226" s="72">
        <f>N226*AG226*X226*0.01</f>
        <v>640.98591549295782</v>
      </c>
      <c r="AD226" s="72">
        <f>AC226*0.4089</f>
        <v>262.09914084507045</v>
      </c>
      <c r="AE226" s="72">
        <f>AC226*0.0263</f>
        <v>16.857929577464791</v>
      </c>
      <c r="AF226" s="72"/>
      <c r="AG226" s="72">
        <v>615</v>
      </c>
      <c r="AI226" s="72"/>
      <c r="AJ226" s="72"/>
      <c r="AK226" s="72"/>
      <c r="AL226" s="72"/>
    </row>
    <row r="227" spans="1:38">
      <c r="A227" s="65">
        <v>226</v>
      </c>
      <c r="B227" s="151">
        <v>2009</v>
      </c>
      <c r="C227" s="66" t="s">
        <v>135</v>
      </c>
      <c r="D227" s="67" t="s">
        <v>105</v>
      </c>
      <c r="E227" s="67" t="s">
        <v>15</v>
      </c>
      <c r="F227" s="67" t="s">
        <v>35</v>
      </c>
      <c r="G227" s="67" t="s">
        <v>46</v>
      </c>
      <c r="H227" s="68">
        <v>40112</v>
      </c>
      <c r="I227" s="68"/>
      <c r="K227" s="70">
        <v>1.42</v>
      </c>
      <c r="L227" s="48">
        <v>60</v>
      </c>
      <c r="M227" s="48"/>
      <c r="N227" s="71">
        <f t="shared" si="9"/>
        <v>42.253521126760567</v>
      </c>
      <c r="O227" s="48" t="s">
        <v>5</v>
      </c>
      <c r="P227" s="72">
        <v>48.51</v>
      </c>
      <c r="Q227" s="72">
        <v>18.66</v>
      </c>
      <c r="R227" s="48">
        <v>1</v>
      </c>
      <c r="S227" s="72">
        <v>465.28</v>
      </c>
      <c r="T227" s="73">
        <v>9.59</v>
      </c>
      <c r="U227" s="72">
        <f>N227*1000*X227/100</f>
        <v>1698.5915492957747</v>
      </c>
      <c r="V227" s="72">
        <f>S227*U227/1000</f>
        <v>790.32067605633802</v>
      </c>
      <c r="W227" s="72">
        <f>P227*U227/1000</f>
        <v>82.398676056338019</v>
      </c>
      <c r="X227" s="72">
        <v>4.0199999999999996</v>
      </c>
      <c r="Y227" s="72">
        <v>29.577464788732396</v>
      </c>
      <c r="Z227" s="73">
        <v>25.35211267605634</v>
      </c>
      <c r="AA227" s="73">
        <v>109.85915492957747</v>
      </c>
      <c r="AB227" s="73">
        <v>4.2253521126760569</v>
      </c>
      <c r="AC227" s="72"/>
      <c r="AD227" s="72">
        <f>$N227*1000*$X227*0.01*$S227*0.001</f>
        <v>790.32067605633802</v>
      </c>
      <c r="AE227" s="72">
        <f>$N227*1000*$X227*0.01*$P227*0.001</f>
        <v>82.398676056338019</v>
      </c>
      <c r="AF227" s="72"/>
      <c r="AG227" s="72"/>
      <c r="AH227" s="74"/>
      <c r="AI227" s="72"/>
      <c r="AJ227" s="72"/>
      <c r="AK227" s="72"/>
      <c r="AL227" s="72"/>
    </row>
    <row r="228" spans="1:38">
      <c r="A228" s="65">
        <v>227</v>
      </c>
      <c r="B228" s="151">
        <v>2009</v>
      </c>
      <c r="C228" s="79" t="s">
        <v>136</v>
      </c>
      <c r="D228" s="67" t="s">
        <v>105</v>
      </c>
      <c r="E228" s="67" t="s">
        <v>15</v>
      </c>
      <c r="F228" s="67" t="s">
        <v>35</v>
      </c>
      <c r="G228" s="67" t="s">
        <v>46</v>
      </c>
      <c r="H228" s="68">
        <v>39870</v>
      </c>
      <c r="I228" s="68"/>
      <c r="K228" s="70">
        <v>3.26</v>
      </c>
      <c r="L228" s="48">
        <v>150</v>
      </c>
      <c r="M228" s="48"/>
      <c r="N228" s="71">
        <f t="shared" si="9"/>
        <v>46.012269938650313</v>
      </c>
      <c r="O228" s="48" t="s">
        <v>5</v>
      </c>
      <c r="P228" s="72">
        <v>52.25</v>
      </c>
      <c r="Q228" s="72">
        <v>27.93</v>
      </c>
      <c r="R228" s="72" t="s">
        <v>60</v>
      </c>
      <c r="S228" s="72">
        <v>387.71</v>
      </c>
      <c r="T228" s="73">
        <v>7.42</v>
      </c>
      <c r="U228" s="72">
        <f>N228*1000*X228/100</f>
        <v>1021.4723926380371</v>
      </c>
      <c r="V228" s="72">
        <f>S228*U228/1000</f>
        <v>396.03506134969336</v>
      </c>
      <c r="W228" s="72">
        <f>P228*U228/1000</f>
        <v>53.371932515337434</v>
      </c>
      <c r="X228" s="72">
        <v>2.2200000000000002</v>
      </c>
      <c r="Y228" s="72">
        <v>51</v>
      </c>
      <c r="Z228" s="73">
        <v>30</v>
      </c>
      <c r="AA228" s="73">
        <v>92</v>
      </c>
      <c r="AB228" s="73">
        <v>5</v>
      </c>
      <c r="AC228" s="72"/>
      <c r="AD228" s="72">
        <f>$N228*1000*$X228*0.01*$S228*0.001</f>
        <v>396.03506134969336</v>
      </c>
      <c r="AE228" s="72">
        <f>$N228*1000*$X228*0.01*$P228*0.001</f>
        <v>53.371932515337441</v>
      </c>
      <c r="AF228" s="72"/>
      <c r="AG228" s="72"/>
      <c r="AH228" s="74"/>
      <c r="AI228" s="72"/>
      <c r="AJ228" s="72"/>
      <c r="AK228" s="72"/>
      <c r="AL228" s="72"/>
    </row>
    <row r="229" spans="1:38">
      <c r="A229" s="65">
        <v>228</v>
      </c>
      <c r="B229" s="151">
        <v>2009</v>
      </c>
      <c r="C229" s="79" t="s">
        <v>136</v>
      </c>
      <c r="D229" s="67" t="s">
        <v>105</v>
      </c>
      <c r="E229" s="67" t="s">
        <v>24</v>
      </c>
      <c r="F229" s="67" t="s">
        <v>28</v>
      </c>
      <c r="G229" s="77" t="s">
        <v>124</v>
      </c>
      <c r="H229" s="68">
        <v>39892</v>
      </c>
      <c r="I229" s="68"/>
      <c r="K229" s="70">
        <v>3.26</v>
      </c>
      <c r="L229" s="72"/>
      <c r="M229" s="72"/>
      <c r="N229" s="72"/>
      <c r="P229" s="72"/>
      <c r="Q229" s="72"/>
      <c r="R229" s="72"/>
      <c r="S229" s="72"/>
      <c r="T229" s="72"/>
      <c r="U229" s="72"/>
      <c r="V229" s="72"/>
      <c r="W229" s="72"/>
      <c r="X229" s="72"/>
      <c r="Y229" s="72"/>
      <c r="Z229" s="72"/>
      <c r="AA229" s="72"/>
      <c r="AB229" s="72"/>
      <c r="AC229" s="72"/>
      <c r="AD229" s="72"/>
      <c r="AE229" s="72"/>
      <c r="AF229" s="72"/>
      <c r="AG229" s="72"/>
      <c r="AH229" s="74"/>
      <c r="AI229" s="72"/>
      <c r="AJ229" s="72"/>
      <c r="AK229" s="72"/>
      <c r="AL229" s="72"/>
    </row>
    <row r="230" spans="1:38">
      <c r="A230" s="65">
        <v>229</v>
      </c>
      <c r="B230" s="151">
        <v>2009</v>
      </c>
      <c r="C230" s="79" t="s">
        <v>136</v>
      </c>
      <c r="D230" s="67" t="s">
        <v>105</v>
      </c>
      <c r="E230" s="67" t="s">
        <v>21</v>
      </c>
      <c r="F230" s="67" t="s">
        <v>36</v>
      </c>
      <c r="G230" s="67" t="s">
        <v>48</v>
      </c>
      <c r="H230" s="68">
        <v>39893</v>
      </c>
      <c r="I230" s="68"/>
      <c r="K230" s="70">
        <v>3.26</v>
      </c>
      <c r="L230" s="48">
        <v>40</v>
      </c>
      <c r="M230" s="48"/>
      <c r="N230" s="71">
        <f t="shared" ref="N230:N273" si="10">IF(L230/K230&gt;0, L230/K230,"")</f>
        <v>12.269938650306749</v>
      </c>
      <c r="O230" s="48" t="s">
        <v>3</v>
      </c>
      <c r="P230" s="72"/>
      <c r="Q230" s="72"/>
      <c r="R230" s="72"/>
      <c r="S230" s="72"/>
      <c r="T230" s="72"/>
      <c r="U230" s="72"/>
      <c r="V230" s="72"/>
      <c r="W230" s="72"/>
      <c r="X230" s="72"/>
      <c r="Y230" s="72"/>
      <c r="Z230" s="72"/>
      <c r="AA230" s="72"/>
      <c r="AB230" s="72"/>
      <c r="AC230" s="72"/>
      <c r="AD230" s="72"/>
      <c r="AE230" s="72"/>
      <c r="AF230" s="72"/>
      <c r="AG230" s="72"/>
      <c r="AH230" s="74"/>
      <c r="AI230" s="72"/>
      <c r="AJ230" s="72"/>
      <c r="AK230" s="72"/>
      <c r="AL230" s="72"/>
    </row>
    <row r="231" spans="1:38">
      <c r="A231" s="65">
        <v>230</v>
      </c>
      <c r="B231" s="151">
        <v>2009</v>
      </c>
      <c r="C231" s="79" t="s">
        <v>136</v>
      </c>
      <c r="D231" s="67" t="s">
        <v>105</v>
      </c>
      <c r="E231" s="67" t="s">
        <v>23</v>
      </c>
      <c r="F231" s="67" t="s">
        <v>27</v>
      </c>
      <c r="G231" s="67" t="s">
        <v>45</v>
      </c>
      <c r="H231" s="68">
        <v>39927</v>
      </c>
      <c r="I231" s="68">
        <v>39952</v>
      </c>
      <c r="J231" s="69">
        <v>1</v>
      </c>
      <c r="K231" s="70">
        <v>3.26</v>
      </c>
      <c r="L231" s="71">
        <v>54</v>
      </c>
      <c r="M231" s="71"/>
      <c r="N231" s="71">
        <f t="shared" si="10"/>
        <v>16.564417177914113</v>
      </c>
      <c r="O231" s="48" t="s">
        <v>64</v>
      </c>
      <c r="P231" s="72"/>
      <c r="Q231" s="72"/>
      <c r="R231" s="72"/>
      <c r="S231" s="72"/>
      <c r="T231" s="72"/>
      <c r="U231" s="72"/>
      <c r="V231" s="72"/>
      <c r="W231" s="72"/>
      <c r="X231" s="72"/>
      <c r="Y231" s="72"/>
      <c r="Z231" s="72"/>
      <c r="AA231" s="72"/>
      <c r="AB231" s="72"/>
      <c r="AC231" s="72">
        <f>N231*AG231*AF231</f>
        <v>621.16564417177926</v>
      </c>
      <c r="AD231" s="72">
        <f>$AC231*0.4089</f>
        <v>253.99463190184053</v>
      </c>
      <c r="AE231" s="72">
        <f>$AC231*0.0263</f>
        <v>16.336656441717796</v>
      </c>
      <c r="AF231" s="72">
        <v>25</v>
      </c>
      <c r="AG231" s="72">
        <v>1.5</v>
      </c>
      <c r="AI231" s="72"/>
      <c r="AJ231" s="72"/>
      <c r="AK231" s="72"/>
      <c r="AL231" s="72"/>
    </row>
    <row r="232" spans="1:38">
      <c r="A232" s="65">
        <v>231</v>
      </c>
      <c r="B232" s="151">
        <v>2009</v>
      </c>
      <c r="C232" s="79" t="s">
        <v>136</v>
      </c>
      <c r="D232" s="67" t="s">
        <v>105</v>
      </c>
      <c r="E232" s="67" t="s">
        <v>23</v>
      </c>
      <c r="F232" s="67" t="s">
        <v>33</v>
      </c>
      <c r="G232" s="67" t="s">
        <v>34</v>
      </c>
      <c r="H232" s="68">
        <v>39952</v>
      </c>
      <c r="I232" s="68">
        <v>39953</v>
      </c>
      <c r="J232" s="69">
        <v>1</v>
      </c>
      <c r="K232" s="70">
        <v>3.26</v>
      </c>
      <c r="L232" s="48">
        <v>10</v>
      </c>
      <c r="M232" s="48"/>
      <c r="N232" s="71">
        <f t="shared" si="10"/>
        <v>3.0674846625766872</v>
      </c>
      <c r="O232" s="48" t="s">
        <v>65</v>
      </c>
      <c r="P232" s="72"/>
      <c r="Q232" s="72"/>
      <c r="R232" s="72"/>
      <c r="S232" s="72"/>
      <c r="T232" s="72"/>
      <c r="U232" s="72"/>
      <c r="V232" s="72"/>
      <c r="W232" s="72"/>
      <c r="X232" s="72">
        <v>37</v>
      </c>
      <c r="Y232" s="72"/>
      <c r="Z232" s="72"/>
      <c r="AA232" s="72"/>
      <c r="AB232" s="72"/>
      <c r="AC232" s="72">
        <f>N232*AG232*X232*0.01</f>
        <v>3404.9079754601225</v>
      </c>
      <c r="AD232" s="72">
        <f>AC232*0.4089</f>
        <v>1392.266871165644</v>
      </c>
      <c r="AE232" s="72">
        <f>AC232*0.0263</f>
        <v>89.549079754601223</v>
      </c>
      <c r="AF232" s="72"/>
      <c r="AG232" s="72">
        <v>3000</v>
      </c>
      <c r="AI232" s="72"/>
      <c r="AJ232" s="72"/>
      <c r="AK232" s="72"/>
      <c r="AL232" s="72"/>
    </row>
    <row r="233" spans="1:38">
      <c r="A233" s="65">
        <v>232</v>
      </c>
      <c r="B233" s="151">
        <v>2009</v>
      </c>
      <c r="C233" s="79" t="s">
        <v>136</v>
      </c>
      <c r="D233" s="67" t="s">
        <v>105</v>
      </c>
      <c r="E233" s="67" t="s">
        <v>15</v>
      </c>
      <c r="F233" s="67" t="s">
        <v>35</v>
      </c>
      <c r="G233" s="67" t="s">
        <v>46</v>
      </c>
      <c r="H233" s="68">
        <v>39960</v>
      </c>
      <c r="I233" s="68"/>
      <c r="K233" s="70">
        <v>3.26</v>
      </c>
      <c r="L233" s="48">
        <v>100</v>
      </c>
      <c r="M233" s="48"/>
      <c r="N233" s="71">
        <f t="shared" si="10"/>
        <v>30.674846625766872</v>
      </c>
      <c r="O233" s="48" t="s">
        <v>5</v>
      </c>
      <c r="P233" s="72">
        <v>128.91999999999999</v>
      </c>
      <c r="Q233" s="72">
        <v>42.65</v>
      </c>
      <c r="R233" s="48">
        <v>0.49</v>
      </c>
      <c r="S233" s="72">
        <v>406.43</v>
      </c>
      <c r="T233" s="73">
        <v>3.15</v>
      </c>
      <c r="U233" s="72">
        <f>N233*1000*X233/100</f>
        <v>625.76687116564426</v>
      </c>
      <c r="V233" s="72">
        <f>S233*U233/1000</f>
        <v>254.33042944785279</v>
      </c>
      <c r="W233" s="72">
        <f>P233*U233/1000</f>
        <v>80.673865030674847</v>
      </c>
      <c r="X233" s="72">
        <v>2.04</v>
      </c>
      <c r="Y233" s="72">
        <v>34</v>
      </c>
      <c r="Z233" s="73">
        <v>20</v>
      </c>
      <c r="AA233" s="73">
        <v>61</v>
      </c>
      <c r="AB233" s="73">
        <v>3</v>
      </c>
      <c r="AC233" s="72"/>
      <c r="AD233" s="72">
        <f>$N233*1000*$X233*0.01*$S233*0.001</f>
        <v>254.33042944785282</v>
      </c>
      <c r="AE233" s="72">
        <f>$N233*1000*$X233*0.01*$P233*0.001</f>
        <v>80.673865030674847</v>
      </c>
      <c r="AF233" s="72"/>
      <c r="AG233" s="72"/>
      <c r="AH233" s="74"/>
      <c r="AI233" s="72"/>
      <c r="AJ233" s="72"/>
      <c r="AK233" s="72"/>
      <c r="AL233" s="72"/>
    </row>
    <row r="234" spans="1:38">
      <c r="A234" s="65">
        <v>233</v>
      </c>
      <c r="B234" s="151">
        <v>2009</v>
      </c>
      <c r="C234" s="79" t="s">
        <v>136</v>
      </c>
      <c r="D234" s="67" t="s">
        <v>105</v>
      </c>
      <c r="E234" s="67" t="s">
        <v>23</v>
      </c>
      <c r="F234" s="67" t="s">
        <v>33</v>
      </c>
      <c r="G234" s="78" t="s">
        <v>41</v>
      </c>
      <c r="H234" s="68">
        <v>39995</v>
      </c>
      <c r="I234" s="68">
        <v>39996</v>
      </c>
      <c r="J234" s="69">
        <v>2</v>
      </c>
      <c r="K234" s="70">
        <v>3.26</v>
      </c>
      <c r="L234" s="48">
        <v>6</v>
      </c>
      <c r="M234" s="48"/>
      <c r="N234" s="71">
        <f t="shared" si="10"/>
        <v>1.8404907975460123</v>
      </c>
      <c r="O234" s="48" t="s">
        <v>65</v>
      </c>
      <c r="P234" s="72"/>
      <c r="Q234" s="72"/>
      <c r="R234" s="72"/>
      <c r="S234" s="72"/>
      <c r="T234" s="72"/>
      <c r="U234" s="72"/>
      <c r="V234" s="72"/>
      <c r="W234" s="72"/>
      <c r="X234" s="72">
        <v>70</v>
      </c>
      <c r="Y234" s="72"/>
      <c r="Z234" s="72"/>
      <c r="AA234" s="72"/>
      <c r="AB234" s="72"/>
      <c r="AC234" s="72">
        <f>N234*AG234*X234*0.01</f>
        <v>1932.515337423313</v>
      </c>
      <c r="AD234" s="72">
        <f>AC234*0.4089</f>
        <v>790.20552147239266</v>
      </c>
      <c r="AE234" s="72">
        <f>AC234*0.0263</f>
        <v>50.825153374233132</v>
      </c>
      <c r="AF234" s="72"/>
      <c r="AG234" s="72">
        <v>1500</v>
      </c>
      <c r="AI234" s="72"/>
      <c r="AJ234" s="72"/>
      <c r="AK234" s="72"/>
      <c r="AL234" s="72"/>
    </row>
    <row r="235" spans="1:38">
      <c r="A235" s="65">
        <v>234</v>
      </c>
      <c r="B235" s="151">
        <v>2009</v>
      </c>
      <c r="C235" s="79" t="s">
        <v>136</v>
      </c>
      <c r="D235" s="67" t="s">
        <v>105</v>
      </c>
      <c r="E235" s="67" t="s">
        <v>15</v>
      </c>
      <c r="F235" s="67" t="s">
        <v>35</v>
      </c>
      <c r="G235" s="75" t="s">
        <v>46</v>
      </c>
      <c r="H235" s="68">
        <v>40002</v>
      </c>
      <c r="I235" s="68"/>
      <c r="K235" s="70">
        <v>3.26</v>
      </c>
      <c r="L235" s="48">
        <v>80</v>
      </c>
      <c r="M235" s="48"/>
      <c r="N235" s="71">
        <f t="shared" si="10"/>
        <v>24.539877300613497</v>
      </c>
      <c r="O235" s="48" t="s">
        <v>5</v>
      </c>
      <c r="P235" s="72">
        <v>81.010000000000005</v>
      </c>
      <c r="Q235" s="72">
        <v>43.67</v>
      </c>
      <c r="R235" s="72" t="s">
        <v>60</v>
      </c>
      <c r="S235" s="72">
        <v>403.25</v>
      </c>
      <c r="T235" s="73">
        <v>4.9800000000000004</v>
      </c>
      <c r="U235" s="72">
        <f>N235*1000*X235/100</f>
        <v>387.7300613496933</v>
      </c>
      <c r="V235" s="72">
        <f>S235*U235/1000</f>
        <v>156.35214723926381</v>
      </c>
      <c r="W235" s="72">
        <f>P235*U235/1000</f>
        <v>31.410012269938655</v>
      </c>
      <c r="X235" s="72">
        <v>1.58</v>
      </c>
      <c r="Y235" s="72">
        <v>17</v>
      </c>
      <c r="Z235" s="73">
        <v>15</v>
      </c>
      <c r="AA235" s="73">
        <v>64</v>
      </c>
      <c r="AB235" s="73">
        <v>2</v>
      </c>
      <c r="AC235" s="72"/>
      <c r="AD235" s="72">
        <f>$N235*1000*$X235*0.01*$S235*0.001</f>
        <v>156.35214723926381</v>
      </c>
      <c r="AE235" s="72">
        <f>$N235*1000*$X235*0.01*$P235*0.001</f>
        <v>31.410012269938655</v>
      </c>
      <c r="AF235" s="72"/>
      <c r="AG235" s="72"/>
      <c r="AH235" s="74"/>
      <c r="AI235" s="72"/>
      <c r="AJ235" s="72"/>
      <c r="AK235" s="72"/>
      <c r="AL235" s="72"/>
    </row>
    <row r="236" spans="1:38">
      <c r="A236" s="65">
        <v>235</v>
      </c>
      <c r="B236" s="151">
        <v>2009</v>
      </c>
      <c r="C236" s="79" t="s">
        <v>136</v>
      </c>
      <c r="D236" s="67" t="s">
        <v>105</v>
      </c>
      <c r="E236" s="67" t="s">
        <v>23</v>
      </c>
      <c r="F236" s="67" t="s">
        <v>33</v>
      </c>
      <c r="G236" s="48" t="s">
        <v>41</v>
      </c>
      <c r="H236" s="68">
        <v>40030</v>
      </c>
      <c r="I236" s="68">
        <v>40031</v>
      </c>
      <c r="J236" s="69">
        <v>3</v>
      </c>
      <c r="K236" s="70">
        <v>3.26</v>
      </c>
      <c r="L236" s="48">
        <v>4</v>
      </c>
      <c r="M236" s="48"/>
      <c r="N236" s="71">
        <f t="shared" si="10"/>
        <v>1.2269938650306749</v>
      </c>
      <c r="O236" s="48" t="s">
        <v>65</v>
      </c>
      <c r="P236" s="72"/>
      <c r="Q236" s="72"/>
      <c r="R236" s="72"/>
      <c r="S236" s="72"/>
      <c r="T236" s="72"/>
      <c r="U236" s="72"/>
      <c r="V236" s="72"/>
      <c r="W236" s="72"/>
      <c r="X236" s="72">
        <v>70</v>
      </c>
      <c r="Y236" s="72"/>
      <c r="Z236" s="72"/>
      <c r="AA236" s="72"/>
      <c r="AB236" s="72"/>
      <c r="AC236" s="72">
        <f>N236*AG236*X236*0.01</f>
        <v>1288.3435582822087</v>
      </c>
      <c r="AD236" s="72">
        <f>AC236*0.4089</f>
        <v>526.80368098159511</v>
      </c>
      <c r="AE236" s="72">
        <f>AC236*0.0263</f>
        <v>33.883435582822088</v>
      </c>
      <c r="AF236" s="72"/>
      <c r="AG236" s="72">
        <v>1500</v>
      </c>
      <c r="AI236" s="72"/>
      <c r="AJ236" s="72"/>
      <c r="AK236" s="72"/>
      <c r="AL236" s="72"/>
    </row>
    <row r="237" spans="1:38">
      <c r="A237" s="65">
        <v>236</v>
      </c>
      <c r="B237" s="151">
        <v>2009</v>
      </c>
      <c r="C237" s="79" t="s">
        <v>136</v>
      </c>
      <c r="D237" s="67" t="s">
        <v>105</v>
      </c>
      <c r="E237" s="67" t="s">
        <v>15</v>
      </c>
      <c r="F237" s="67" t="s">
        <v>35</v>
      </c>
      <c r="G237" s="67" t="s">
        <v>46</v>
      </c>
      <c r="H237" s="68">
        <v>40037</v>
      </c>
      <c r="I237" s="68"/>
      <c r="K237" s="70">
        <v>3.26</v>
      </c>
      <c r="L237" s="48">
        <v>80</v>
      </c>
      <c r="M237" s="48"/>
      <c r="N237" s="71">
        <f t="shared" si="10"/>
        <v>24.539877300613497</v>
      </c>
      <c r="O237" s="48" t="s">
        <v>5</v>
      </c>
      <c r="P237" s="72">
        <v>59.26</v>
      </c>
      <c r="Q237" s="72">
        <v>27.16</v>
      </c>
      <c r="R237" s="72" t="s">
        <v>60</v>
      </c>
      <c r="S237" s="72">
        <v>412.23</v>
      </c>
      <c r="T237" s="73">
        <v>6.96</v>
      </c>
      <c r="U237" s="72">
        <f>N237*1000*X237/100</f>
        <v>397.54601226993873</v>
      </c>
      <c r="V237" s="72">
        <f>S237*U237/1000</f>
        <v>163.88039263803682</v>
      </c>
      <c r="W237" s="72">
        <f>P237*U237/1000</f>
        <v>23.55857668711657</v>
      </c>
      <c r="X237" s="72">
        <v>1.62</v>
      </c>
      <c r="Y237" s="72">
        <v>17</v>
      </c>
      <c r="Z237" s="73">
        <v>15</v>
      </c>
      <c r="AA237" s="73">
        <v>64</v>
      </c>
      <c r="AB237" s="73">
        <v>2</v>
      </c>
      <c r="AC237" s="72"/>
      <c r="AD237" s="72">
        <f>$N237*1000*$X237*0.01*$S237*0.001</f>
        <v>163.88039263803685</v>
      </c>
      <c r="AE237" s="72">
        <f>$N237*1000*$X237*0.01*$P237*0.001</f>
        <v>23.55857668711657</v>
      </c>
      <c r="AF237" s="72"/>
      <c r="AG237" s="72"/>
      <c r="AH237" s="74"/>
      <c r="AI237" s="72"/>
      <c r="AJ237" s="72"/>
      <c r="AK237" s="72"/>
      <c r="AL237" s="72"/>
    </row>
    <row r="238" spans="1:38">
      <c r="A238" s="65">
        <v>237</v>
      </c>
      <c r="B238" s="151">
        <v>2009</v>
      </c>
      <c r="C238" s="79" t="s">
        <v>136</v>
      </c>
      <c r="D238" s="67" t="s">
        <v>105</v>
      </c>
      <c r="E238" s="67" t="s">
        <v>23</v>
      </c>
      <c r="F238" s="67" t="s">
        <v>33</v>
      </c>
      <c r="G238" s="67" t="s">
        <v>34</v>
      </c>
      <c r="H238" s="68">
        <v>40055</v>
      </c>
      <c r="I238" s="68">
        <v>40056</v>
      </c>
      <c r="J238" s="69">
        <v>4</v>
      </c>
      <c r="K238" s="70">
        <v>3.26</v>
      </c>
      <c r="L238" s="48">
        <v>1.5</v>
      </c>
      <c r="M238" s="48"/>
      <c r="N238" s="71">
        <f t="shared" si="10"/>
        <v>0.46012269938650308</v>
      </c>
      <c r="O238" s="48" t="s">
        <v>65</v>
      </c>
      <c r="P238" s="72"/>
      <c r="Q238" s="72"/>
      <c r="R238" s="72"/>
      <c r="S238" s="72"/>
      <c r="T238" s="72"/>
      <c r="U238" s="72"/>
      <c r="V238" s="72"/>
      <c r="W238" s="72"/>
      <c r="X238" s="72">
        <v>37</v>
      </c>
      <c r="Y238" s="72"/>
      <c r="Z238" s="72"/>
      <c r="AA238" s="72"/>
      <c r="AB238" s="72"/>
      <c r="AC238" s="72">
        <f>N238*AG238*X238*0.01</f>
        <v>510.7361963190184</v>
      </c>
      <c r="AD238" s="72">
        <f>AC238*0.4089</f>
        <v>208.84003067484662</v>
      </c>
      <c r="AE238" s="72">
        <f>AC238*0.0263</f>
        <v>13.432361963190184</v>
      </c>
      <c r="AF238" s="72"/>
      <c r="AG238" s="72">
        <v>3000</v>
      </c>
      <c r="AI238" s="72"/>
      <c r="AJ238" s="72"/>
      <c r="AK238" s="72"/>
      <c r="AL238" s="72"/>
    </row>
    <row r="239" spans="1:38">
      <c r="A239" s="65">
        <v>238</v>
      </c>
      <c r="B239" s="151">
        <v>2009</v>
      </c>
      <c r="C239" s="79" t="s">
        <v>136</v>
      </c>
      <c r="D239" s="67" t="s">
        <v>105</v>
      </c>
      <c r="E239" s="67" t="s">
        <v>21</v>
      </c>
      <c r="F239" s="67" t="s">
        <v>36</v>
      </c>
      <c r="G239" s="67" t="s">
        <v>49</v>
      </c>
      <c r="H239" s="68">
        <v>40057</v>
      </c>
      <c r="I239" s="68"/>
      <c r="K239" s="70">
        <v>3.26</v>
      </c>
      <c r="L239" s="48">
        <v>40</v>
      </c>
      <c r="M239" s="48"/>
      <c r="N239" s="71">
        <f t="shared" si="10"/>
        <v>12.269938650306749</v>
      </c>
      <c r="O239" s="48" t="s">
        <v>3</v>
      </c>
      <c r="P239" s="72"/>
      <c r="Q239" s="72"/>
      <c r="R239" s="72"/>
      <c r="S239" s="72"/>
      <c r="T239" s="72"/>
      <c r="U239" s="72"/>
      <c r="V239" s="72"/>
      <c r="W239" s="72"/>
      <c r="X239" s="72"/>
      <c r="Y239" s="72"/>
      <c r="Z239" s="72"/>
      <c r="AA239" s="72"/>
      <c r="AB239" s="72"/>
      <c r="AC239" s="72"/>
      <c r="AD239" s="72"/>
      <c r="AE239" s="72"/>
      <c r="AF239" s="72"/>
      <c r="AG239" s="72"/>
      <c r="AH239" s="74"/>
      <c r="AI239" s="72"/>
      <c r="AJ239" s="72"/>
      <c r="AK239" s="72"/>
      <c r="AL239" s="72"/>
    </row>
    <row r="240" spans="1:38">
      <c r="A240" s="65">
        <v>239</v>
      </c>
      <c r="B240" s="151">
        <v>2009</v>
      </c>
      <c r="C240" s="79" t="s">
        <v>136</v>
      </c>
      <c r="D240" s="67" t="s">
        <v>105</v>
      </c>
      <c r="E240" s="67" t="s">
        <v>23</v>
      </c>
      <c r="F240" s="67" t="s">
        <v>27</v>
      </c>
      <c r="G240" s="67" t="s">
        <v>45</v>
      </c>
      <c r="H240" s="68">
        <v>40097</v>
      </c>
      <c r="I240" s="68">
        <v>40098</v>
      </c>
      <c r="J240" s="69">
        <v>5</v>
      </c>
      <c r="K240" s="70">
        <v>3.26</v>
      </c>
      <c r="L240" s="71">
        <v>100</v>
      </c>
      <c r="M240" s="71"/>
      <c r="N240" s="71">
        <f t="shared" si="10"/>
        <v>30.674846625766872</v>
      </c>
      <c r="O240" s="48" t="s">
        <v>64</v>
      </c>
      <c r="P240" s="72"/>
      <c r="Q240" s="72"/>
      <c r="R240" s="72"/>
      <c r="S240" s="72"/>
      <c r="T240" s="72"/>
      <c r="U240" s="72"/>
      <c r="V240" s="72"/>
      <c r="W240" s="72"/>
      <c r="X240" s="72"/>
      <c r="Y240" s="72"/>
      <c r="Z240" s="72"/>
      <c r="AA240" s="72"/>
      <c r="AB240" s="72"/>
      <c r="AC240" s="72">
        <f>N240*AG240*AF240</f>
        <v>46.012269938650306</v>
      </c>
      <c r="AD240" s="72">
        <f>$AC240*0.4089</f>
        <v>18.814417177914109</v>
      </c>
      <c r="AE240" s="72">
        <f>$AC240*0.0263</f>
        <v>1.2101226993865031</v>
      </c>
      <c r="AF240" s="72">
        <v>1</v>
      </c>
      <c r="AG240" s="72">
        <v>1.5</v>
      </c>
      <c r="AI240" s="72"/>
      <c r="AJ240" s="72"/>
      <c r="AK240" s="72"/>
      <c r="AL240" s="72"/>
    </row>
    <row r="241" spans="1:38">
      <c r="A241" s="65">
        <v>240</v>
      </c>
      <c r="B241" s="151">
        <v>2009</v>
      </c>
      <c r="C241" s="79" t="s">
        <v>136</v>
      </c>
      <c r="D241" s="67" t="s">
        <v>105</v>
      </c>
      <c r="E241" s="67" t="s">
        <v>23</v>
      </c>
      <c r="F241" s="67" t="s">
        <v>33</v>
      </c>
      <c r="G241" s="67" t="s">
        <v>34</v>
      </c>
      <c r="H241" s="68">
        <v>40106</v>
      </c>
      <c r="I241" s="68">
        <v>40107</v>
      </c>
      <c r="J241" s="69">
        <v>5</v>
      </c>
      <c r="K241" s="70">
        <v>3.26</v>
      </c>
      <c r="L241" s="48">
        <v>8</v>
      </c>
      <c r="M241" s="48"/>
      <c r="N241" s="71">
        <f t="shared" si="10"/>
        <v>2.4539877300613497</v>
      </c>
      <c r="O241" s="83" t="s">
        <v>68</v>
      </c>
      <c r="P241" s="72"/>
      <c r="Q241" s="72"/>
      <c r="R241" s="72"/>
      <c r="S241" s="72"/>
      <c r="T241" s="72"/>
      <c r="U241" s="72"/>
      <c r="V241" s="72"/>
      <c r="W241" s="72"/>
      <c r="X241" s="72">
        <v>37</v>
      </c>
      <c r="Y241" s="72"/>
      <c r="Z241" s="72"/>
      <c r="AA241" s="72"/>
      <c r="AB241" s="72"/>
      <c r="AC241" s="72">
        <f>N241*AG241*X241*0.01</f>
        <v>558.40490797546011</v>
      </c>
      <c r="AD241" s="72">
        <f>AC241*0.4089</f>
        <v>228.33176687116563</v>
      </c>
      <c r="AE241" s="72">
        <f>AC241*0.0263</f>
        <v>14.686049079754602</v>
      </c>
      <c r="AF241" s="72"/>
      <c r="AG241" s="72">
        <v>615</v>
      </c>
      <c r="AI241" s="72"/>
      <c r="AJ241" s="72"/>
      <c r="AK241" s="72"/>
      <c r="AL241" s="72"/>
    </row>
    <row r="242" spans="1:38">
      <c r="A242" s="65">
        <v>241</v>
      </c>
      <c r="B242" s="149">
        <v>2010</v>
      </c>
      <c r="C242" s="66" t="s">
        <v>135</v>
      </c>
      <c r="D242" s="67" t="s">
        <v>105</v>
      </c>
      <c r="E242" s="67" t="s">
        <v>15</v>
      </c>
      <c r="F242" s="67" t="s">
        <v>35</v>
      </c>
      <c r="G242" s="67" t="s">
        <v>46</v>
      </c>
      <c r="H242" s="68">
        <v>40255</v>
      </c>
      <c r="I242" s="68"/>
      <c r="K242" s="70">
        <v>1.42</v>
      </c>
      <c r="L242" s="48">
        <v>37</v>
      </c>
      <c r="M242" s="48"/>
      <c r="N242" s="71">
        <f t="shared" si="10"/>
        <v>26.056338028169016</v>
      </c>
      <c r="O242" s="48" t="s">
        <v>5</v>
      </c>
      <c r="P242" s="72">
        <v>63.04</v>
      </c>
      <c r="Q242" s="72">
        <v>26.09</v>
      </c>
      <c r="R242" s="72" t="s">
        <v>60</v>
      </c>
      <c r="S242" s="72">
        <v>406.55</v>
      </c>
      <c r="T242" s="73">
        <v>6.45</v>
      </c>
      <c r="U242" s="72">
        <f>N242*1000*X242/100</f>
        <v>599.29577464788736</v>
      </c>
      <c r="V242" s="72">
        <f>S242*U242/1000</f>
        <v>243.64369718309862</v>
      </c>
      <c r="W242" s="72">
        <f>P242*U242/1000</f>
        <v>37.779605633802824</v>
      </c>
      <c r="X242" s="72">
        <v>2.2999999999999998</v>
      </c>
      <c r="Y242" s="72">
        <v>28.661971830985919</v>
      </c>
      <c r="Z242" s="73">
        <v>17.197183098591552</v>
      </c>
      <c r="AA242" s="73">
        <v>52.112676056338032</v>
      </c>
      <c r="AB242" s="73">
        <v>2.6056338028169015</v>
      </c>
      <c r="AC242" s="72"/>
      <c r="AD242" s="72">
        <f>$N242*1000*$X242*0.01*$S242*0.001</f>
        <v>243.64369718309862</v>
      </c>
      <c r="AE242" s="72">
        <f>$N242*1000*$X242*0.01*$P242*0.001</f>
        <v>37.779605633802824</v>
      </c>
      <c r="AF242" s="72"/>
      <c r="AG242" s="72"/>
      <c r="AH242" s="74"/>
      <c r="AI242" s="72"/>
      <c r="AJ242" s="72"/>
      <c r="AK242" s="72"/>
      <c r="AL242" s="72"/>
    </row>
    <row r="243" spans="1:38">
      <c r="A243" s="65">
        <v>242</v>
      </c>
      <c r="B243" s="149">
        <v>2010</v>
      </c>
      <c r="C243" s="66" t="s">
        <v>135</v>
      </c>
      <c r="D243" s="67" t="s">
        <v>105</v>
      </c>
      <c r="E243" s="67" t="s">
        <v>23</v>
      </c>
      <c r="F243" s="67" t="s">
        <v>33</v>
      </c>
      <c r="G243" s="67" t="s">
        <v>34</v>
      </c>
      <c r="H243" s="68">
        <v>40320</v>
      </c>
      <c r="I243" s="68">
        <v>40322</v>
      </c>
      <c r="J243" s="69">
        <v>1</v>
      </c>
      <c r="K243" s="70">
        <v>1.42</v>
      </c>
      <c r="L243" s="48">
        <v>5</v>
      </c>
      <c r="M243" s="48"/>
      <c r="N243" s="71">
        <f t="shared" si="10"/>
        <v>3.5211267605633805</v>
      </c>
      <c r="O243" s="48" t="s">
        <v>65</v>
      </c>
      <c r="P243" s="72"/>
      <c r="Q243" s="72"/>
      <c r="R243" s="72"/>
      <c r="S243" s="72"/>
      <c r="T243" s="72"/>
      <c r="U243" s="72"/>
      <c r="V243" s="72"/>
      <c r="W243" s="72"/>
      <c r="X243" s="72">
        <v>37</v>
      </c>
      <c r="Y243" s="72"/>
      <c r="Z243" s="72"/>
      <c r="AA243" s="72"/>
      <c r="AB243" s="72"/>
      <c r="AC243" s="72">
        <f>N243*AG243*X243*0.01</f>
        <v>3908.4507042253517</v>
      </c>
      <c r="AD243" s="72">
        <f>$AC243*0.4089</f>
        <v>1598.1654929577462</v>
      </c>
      <c r="AE243" s="72">
        <f>$AC243*0.0263</f>
        <v>102.79225352112675</v>
      </c>
      <c r="AF243" s="72"/>
      <c r="AG243" s="72">
        <v>3000</v>
      </c>
      <c r="AI243" s="72"/>
      <c r="AJ243" s="72"/>
      <c r="AK243" s="72"/>
      <c r="AL243" s="72"/>
    </row>
    <row r="244" spans="1:38">
      <c r="A244" s="65">
        <v>243</v>
      </c>
      <c r="B244" s="149">
        <v>2010</v>
      </c>
      <c r="C244" s="66" t="s">
        <v>135</v>
      </c>
      <c r="D244" s="67" t="s">
        <v>105</v>
      </c>
      <c r="E244" s="67" t="s">
        <v>15</v>
      </c>
      <c r="F244" s="67" t="s">
        <v>35</v>
      </c>
      <c r="G244" s="67" t="s">
        <v>46</v>
      </c>
      <c r="H244" s="68">
        <v>40325</v>
      </c>
      <c r="I244" s="68"/>
      <c r="K244" s="70">
        <v>1.42</v>
      </c>
      <c r="L244" s="48">
        <v>68</v>
      </c>
      <c r="M244" s="48"/>
      <c r="N244" s="71">
        <f t="shared" si="10"/>
        <v>47.887323943661976</v>
      </c>
      <c r="O244" s="48" t="s">
        <v>5</v>
      </c>
      <c r="P244" s="72">
        <v>97.68</v>
      </c>
      <c r="Q244" s="72">
        <v>32.82</v>
      </c>
      <c r="R244" s="72">
        <v>0.39</v>
      </c>
      <c r="S244" s="72">
        <v>401.57</v>
      </c>
      <c r="T244" s="73">
        <v>4.1100000000000003</v>
      </c>
      <c r="U244" s="72">
        <f>N244*1000*X244/100</f>
        <v>1240.2816901408451</v>
      </c>
      <c r="V244" s="72">
        <f>S244*U244/1000</f>
        <v>498.05991830985914</v>
      </c>
      <c r="W244" s="72">
        <f>P244*U244/1000</f>
        <v>121.15071549295776</v>
      </c>
      <c r="X244" s="72">
        <v>2.59</v>
      </c>
      <c r="Y244" s="72">
        <v>52.676056338028182</v>
      </c>
      <c r="Z244" s="73">
        <v>31.605633802816904</v>
      </c>
      <c r="AA244" s="73">
        <v>95.774647887323951</v>
      </c>
      <c r="AB244" s="73">
        <v>4.7887323943661979</v>
      </c>
      <c r="AC244" s="72"/>
      <c r="AD244" s="72">
        <f>$N244*1000*$X244*0.01*$S244*0.001</f>
        <v>498.05991830985926</v>
      </c>
      <c r="AE244" s="72">
        <f>$N244*1000*$X244*0.01*$P244*0.001</f>
        <v>121.15071549295779</v>
      </c>
      <c r="AF244" s="72"/>
      <c r="AG244" s="72"/>
      <c r="AH244" s="74"/>
      <c r="AI244" s="72"/>
      <c r="AJ244" s="72"/>
      <c r="AK244" s="72"/>
      <c r="AL244" s="72"/>
    </row>
    <row r="245" spans="1:38">
      <c r="A245" s="65">
        <v>244</v>
      </c>
      <c r="B245" s="149">
        <v>2010</v>
      </c>
      <c r="C245" s="66" t="s">
        <v>135</v>
      </c>
      <c r="D245" s="67" t="s">
        <v>105</v>
      </c>
      <c r="E245" s="67" t="s">
        <v>23</v>
      </c>
      <c r="F245" s="67" t="s">
        <v>33</v>
      </c>
      <c r="G245" s="67" t="s">
        <v>43</v>
      </c>
      <c r="H245" s="68">
        <v>40357</v>
      </c>
      <c r="I245" s="68">
        <v>40358</v>
      </c>
      <c r="J245" s="69">
        <v>2</v>
      </c>
      <c r="K245" s="70">
        <v>1.42</v>
      </c>
      <c r="L245" s="48">
        <v>140</v>
      </c>
      <c r="M245" s="48"/>
      <c r="N245" s="71">
        <f t="shared" si="10"/>
        <v>98.591549295774655</v>
      </c>
      <c r="O245" s="48" t="s">
        <v>69</v>
      </c>
      <c r="P245" s="72"/>
      <c r="Q245" s="72"/>
      <c r="R245" s="72"/>
      <c r="S245" s="72"/>
      <c r="T245" s="72"/>
      <c r="U245" s="72"/>
      <c r="V245" s="72"/>
      <c r="W245" s="72"/>
      <c r="X245" s="72">
        <v>86</v>
      </c>
      <c r="Y245" s="72"/>
      <c r="Z245" s="72"/>
      <c r="AA245" s="72"/>
      <c r="AB245" s="72"/>
      <c r="AC245" s="72">
        <f>N245*AG245*X245*0.01</f>
        <v>2246.9014084507044</v>
      </c>
      <c r="AD245" s="72">
        <f>$AC245*0.4089</f>
        <v>918.75798591549301</v>
      </c>
      <c r="AE245" s="72">
        <f>$AC245*0.0263</f>
        <v>59.093507042253528</v>
      </c>
      <c r="AF245" s="72"/>
      <c r="AG245" s="72">
        <v>26.5</v>
      </c>
      <c r="AI245" s="72"/>
      <c r="AJ245" s="72"/>
      <c r="AK245" s="72"/>
      <c r="AL245" s="72"/>
    </row>
    <row r="246" spans="1:38">
      <c r="A246" s="65">
        <v>245</v>
      </c>
      <c r="B246" s="149">
        <v>2010</v>
      </c>
      <c r="C246" s="66" t="s">
        <v>135</v>
      </c>
      <c r="D246" s="67" t="s">
        <v>105</v>
      </c>
      <c r="E246" s="67" t="s">
        <v>15</v>
      </c>
      <c r="F246" s="67" t="s">
        <v>35</v>
      </c>
      <c r="G246" s="67" t="s">
        <v>46</v>
      </c>
      <c r="H246" s="68">
        <v>40365</v>
      </c>
      <c r="I246" s="68"/>
      <c r="K246" s="70">
        <v>1.42</v>
      </c>
      <c r="L246" s="48">
        <v>36</v>
      </c>
      <c r="M246" s="48"/>
      <c r="N246" s="71">
        <f t="shared" si="10"/>
        <v>25.35211267605634</v>
      </c>
      <c r="O246" s="48" t="s">
        <v>5</v>
      </c>
      <c r="P246" s="72">
        <v>37.82</v>
      </c>
      <c r="Q246" s="72">
        <v>15.27</v>
      </c>
      <c r="R246" s="72" t="s">
        <v>60</v>
      </c>
      <c r="S246" s="72">
        <v>446.49</v>
      </c>
      <c r="T246" s="73">
        <v>11.81</v>
      </c>
      <c r="U246" s="72">
        <f>N246*1000*X246/100</f>
        <v>697.18309859154931</v>
      </c>
      <c r="V246" s="72">
        <f>S246*U246/1000</f>
        <v>311.28528169014083</v>
      </c>
      <c r="W246" s="72">
        <f>P246*U246/1000</f>
        <v>26.367464788732395</v>
      </c>
      <c r="X246" s="72">
        <v>2.75</v>
      </c>
      <c r="Y246" s="72">
        <v>17.746478873239436</v>
      </c>
      <c r="Z246" s="73">
        <v>15.211267605633802</v>
      </c>
      <c r="AA246" s="73">
        <v>65.915492957746494</v>
      </c>
      <c r="AB246" s="73">
        <v>2.535211267605634</v>
      </c>
      <c r="AC246" s="72"/>
      <c r="AD246" s="72">
        <f>$N246*1000*$X246*0.01*$S246*0.001</f>
        <v>311.28528169014083</v>
      </c>
      <c r="AE246" s="72">
        <f>$N246*1000*$X246*0.01*$P246*0.001</f>
        <v>26.367464788732395</v>
      </c>
      <c r="AF246" s="72"/>
      <c r="AG246" s="72"/>
      <c r="AH246" s="74"/>
      <c r="AI246" s="72"/>
      <c r="AJ246" s="72"/>
      <c r="AK246" s="72"/>
      <c r="AL246" s="72"/>
    </row>
    <row r="247" spans="1:38">
      <c r="A247" s="65">
        <v>246</v>
      </c>
      <c r="B247" s="149">
        <v>2010</v>
      </c>
      <c r="C247" s="66" t="s">
        <v>135</v>
      </c>
      <c r="D247" s="67" t="s">
        <v>105</v>
      </c>
      <c r="E247" s="67" t="s">
        <v>23</v>
      </c>
      <c r="F247" s="67" t="s">
        <v>33</v>
      </c>
      <c r="G247" s="78" t="s">
        <v>41</v>
      </c>
      <c r="H247" s="68">
        <v>40410</v>
      </c>
      <c r="I247" s="68">
        <v>40412</v>
      </c>
      <c r="J247" s="69">
        <v>3</v>
      </c>
      <c r="K247" s="70">
        <v>1.42</v>
      </c>
      <c r="L247" s="48">
        <v>2</v>
      </c>
      <c r="M247" s="48"/>
      <c r="N247" s="71">
        <f t="shared" si="10"/>
        <v>1.4084507042253522</v>
      </c>
      <c r="O247" s="48" t="s">
        <v>65</v>
      </c>
      <c r="P247" s="72"/>
      <c r="Q247" s="72"/>
      <c r="R247" s="72"/>
      <c r="S247" s="72"/>
      <c r="T247" s="72"/>
      <c r="U247" s="72"/>
      <c r="V247" s="72"/>
      <c r="W247" s="72"/>
      <c r="X247" s="72">
        <v>70</v>
      </c>
      <c r="Y247" s="72"/>
      <c r="Z247" s="72"/>
      <c r="AA247" s="72"/>
      <c r="AB247" s="72"/>
      <c r="AC247" s="72">
        <f>N247*AG247*X247*0.01</f>
        <v>1478.87323943662</v>
      </c>
      <c r="AD247" s="72">
        <f>$AC247*0.4089</f>
        <v>604.71126760563391</v>
      </c>
      <c r="AE247" s="72">
        <f>$AC247*0.0263</f>
        <v>38.894366197183103</v>
      </c>
      <c r="AF247" s="72"/>
      <c r="AG247" s="72">
        <v>1500</v>
      </c>
      <c r="AI247" s="72"/>
      <c r="AJ247" s="72"/>
      <c r="AK247" s="72"/>
      <c r="AL247" s="72"/>
    </row>
    <row r="248" spans="1:38">
      <c r="A248" s="65">
        <v>247</v>
      </c>
      <c r="B248" s="149">
        <v>2010</v>
      </c>
      <c r="C248" s="66" t="s">
        <v>135</v>
      </c>
      <c r="D248" s="67" t="s">
        <v>105</v>
      </c>
      <c r="E248" s="67" t="s">
        <v>15</v>
      </c>
      <c r="F248" s="67" t="s">
        <v>35</v>
      </c>
      <c r="G248" s="67" t="s">
        <v>46</v>
      </c>
      <c r="H248" s="68">
        <v>40415</v>
      </c>
      <c r="I248" s="68"/>
      <c r="K248" s="70">
        <v>1.42</v>
      </c>
      <c r="L248" s="48">
        <v>39</v>
      </c>
      <c r="M248" s="48"/>
      <c r="N248" s="71">
        <f t="shared" si="10"/>
        <v>27.464788732394368</v>
      </c>
      <c r="O248" s="48" t="s">
        <v>5</v>
      </c>
      <c r="P248" s="72">
        <v>65.44</v>
      </c>
      <c r="Q248" s="72">
        <v>30.15</v>
      </c>
      <c r="R248" s="72">
        <v>0.74</v>
      </c>
      <c r="S248" s="72">
        <v>375.83</v>
      </c>
      <c r="T248" s="73">
        <v>5.74</v>
      </c>
      <c r="U248" s="72">
        <f>N248*1000*X248/100</f>
        <v>373.52112676056345</v>
      </c>
      <c r="V248" s="72">
        <f>S248*U248/1000</f>
        <v>140.38044507042255</v>
      </c>
      <c r="W248" s="72">
        <f>P248*U248/1000</f>
        <v>24.443222535211273</v>
      </c>
      <c r="X248" s="72">
        <v>1.36</v>
      </c>
      <c r="Y248" s="72">
        <v>30.211267605633807</v>
      </c>
      <c r="Z248" s="73">
        <v>18.126760563380284</v>
      </c>
      <c r="AA248" s="73">
        <v>54.929577464788736</v>
      </c>
      <c r="AB248" s="73">
        <v>2.746478873239437</v>
      </c>
      <c r="AC248" s="72"/>
      <c r="AD248" s="72">
        <f>$N248*1000*$X248*0.01*$S248*0.001</f>
        <v>140.38044507042255</v>
      </c>
      <c r="AE248" s="72">
        <f>$N248*1000*$X248*0.01*$P248*0.001</f>
        <v>24.443222535211273</v>
      </c>
      <c r="AF248" s="72"/>
      <c r="AG248" s="72"/>
      <c r="AH248" s="74"/>
      <c r="AI248" s="72"/>
      <c r="AJ248" s="72"/>
      <c r="AK248" s="72"/>
      <c r="AL248" s="72"/>
    </row>
    <row r="249" spans="1:38">
      <c r="A249" s="65">
        <v>248</v>
      </c>
      <c r="B249" s="149">
        <v>2010</v>
      </c>
      <c r="C249" s="66" t="s">
        <v>135</v>
      </c>
      <c r="D249" s="67" t="s">
        <v>105</v>
      </c>
      <c r="E249" s="67" t="s">
        <v>23</v>
      </c>
      <c r="F249" s="67" t="s">
        <v>33</v>
      </c>
      <c r="G249" s="75" t="s">
        <v>34</v>
      </c>
      <c r="H249" s="68">
        <v>40459</v>
      </c>
      <c r="I249" s="68">
        <v>40463</v>
      </c>
      <c r="J249" s="69">
        <v>4</v>
      </c>
      <c r="K249" s="70">
        <v>1.42</v>
      </c>
      <c r="L249" s="48">
        <v>5</v>
      </c>
      <c r="M249" s="48"/>
      <c r="N249" s="71">
        <f t="shared" si="10"/>
        <v>3.5211267605633805</v>
      </c>
      <c r="O249" s="83" t="s">
        <v>68</v>
      </c>
      <c r="P249" s="72"/>
      <c r="Q249" s="72"/>
      <c r="R249" s="72"/>
      <c r="S249" s="72"/>
      <c r="T249" s="72"/>
      <c r="U249" s="72"/>
      <c r="V249" s="72"/>
      <c r="W249" s="72"/>
      <c r="X249" s="72">
        <v>37</v>
      </c>
      <c r="Y249" s="72"/>
      <c r="Z249" s="72"/>
      <c r="AA249" s="72"/>
      <c r="AB249" s="72"/>
      <c r="AC249" s="72">
        <f>N249*AG249*X249*0.01</f>
        <v>801.23239436619724</v>
      </c>
      <c r="AD249" s="72">
        <f>$AC249*0.4089</f>
        <v>327.62392605633806</v>
      </c>
      <c r="AE249" s="72">
        <f>$AC249*0.0263</f>
        <v>21.072411971830988</v>
      </c>
      <c r="AF249" s="72"/>
      <c r="AG249" s="72">
        <v>615</v>
      </c>
      <c r="AI249" s="72"/>
      <c r="AJ249" s="72"/>
      <c r="AK249" s="72"/>
      <c r="AL249" s="72"/>
    </row>
    <row r="250" spans="1:38">
      <c r="A250" s="65">
        <v>249</v>
      </c>
      <c r="B250" s="149">
        <v>2010</v>
      </c>
      <c r="C250" s="66" t="s">
        <v>135</v>
      </c>
      <c r="D250" s="67" t="s">
        <v>105</v>
      </c>
      <c r="E250" s="67" t="s">
        <v>15</v>
      </c>
      <c r="F250" s="67" t="s">
        <v>35</v>
      </c>
      <c r="G250" s="67" t="s">
        <v>46</v>
      </c>
      <c r="H250" s="68">
        <v>40479</v>
      </c>
      <c r="I250" s="68"/>
      <c r="K250" s="70">
        <v>1.42</v>
      </c>
      <c r="L250" s="48">
        <v>57</v>
      </c>
      <c r="M250" s="48"/>
      <c r="N250" s="71">
        <f t="shared" si="10"/>
        <v>40.140845070422536</v>
      </c>
      <c r="O250" s="48" t="s">
        <v>5</v>
      </c>
      <c r="P250" s="72">
        <v>72.48</v>
      </c>
      <c r="Q250" s="72">
        <v>32.21</v>
      </c>
      <c r="R250" s="72">
        <v>1.34</v>
      </c>
      <c r="S250" s="72">
        <v>388.17</v>
      </c>
      <c r="T250" s="73">
        <v>5.36</v>
      </c>
      <c r="U250" s="72">
        <f>N250*1000*X250/100</f>
        <v>598.09859154929575</v>
      </c>
      <c r="V250" s="72">
        <f>S250*U250/1000</f>
        <v>232.16393028169014</v>
      </c>
      <c r="W250" s="72">
        <f>P250*U250/1000</f>
        <v>43.350185915492958</v>
      </c>
      <c r="X250" s="72">
        <v>1.49</v>
      </c>
      <c r="Y250" s="72">
        <v>44.154929577464792</v>
      </c>
      <c r="Z250" s="73">
        <v>26.492957746478879</v>
      </c>
      <c r="AA250" s="73">
        <v>80.281690140845072</v>
      </c>
      <c r="AB250" s="73">
        <v>4.0140845070422539</v>
      </c>
      <c r="AC250" s="72"/>
      <c r="AD250" s="72">
        <f>$N250*1000*$X250*0.01*$S250*0.001</f>
        <v>232.16393028169014</v>
      </c>
      <c r="AE250" s="72">
        <f>$N250*1000*$X250*0.01*$P250*0.001</f>
        <v>43.350185915492958</v>
      </c>
      <c r="AF250" s="72"/>
      <c r="AG250" s="72"/>
      <c r="AH250" s="74"/>
      <c r="AI250" s="72"/>
      <c r="AJ250" s="72"/>
      <c r="AK250" s="72"/>
      <c r="AL250" s="72"/>
    </row>
    <row r="251" spans="1:38">
      <c r="A251" s="65">
        <v>250</v>
      </c>
      <c r="B251" s="149">
        <v>2010</v>
      </c>
      <c r="C251" s="79" t="s">
        <v>136</v>
      </c>
      <c r="D251" s="67" t="s">
        <v>105</v>
      </c>
      <c r="E251" s="67" t="s">
        <v>15</v>
      </c>
      <c r="F251" s="67" t="s">
        <v>35</v>
      </c>
      <c r="G251" s="67" t="s">
        <v>46</v>
      </c>
      <c r="H251" s="68">
        <v>40255</v>
      </c>
      <c r="I251" s="68"/>
      <c r="K251" s="70">
        <v>3.26</v>
      </c>
      <c r="L251" s="48">
        <v>85</v>
      </c>
      <c r="M251" s="48"/>
      <c r="N251" s="71">
        <f t="shared" si="10"/>
        <v>26.073619631901842</v>
      </c>
      <c r="O251" s="48" t="s">
        <v>5</v>
      </c>
      <c r="P251" s="72">
        <v>62.17</v>
      </c>
      <c r="Q251" s="72">
        <v>26.52</v>
      </c>
      <c r="R251" s="72">
        <v>0.43</v>
      </c>
      <c r="S251" s="72">
        <v>404</v>
      </c>
      <c r="T251" s="73">
        <v>6.5</v>
      </c>
      <c r="U251" s="72">
        <f>N251*1000*X251/100</f>
        <v>599.69325153374234</v>
      </c>
      <c r="V251" s="72">
        <f>S251*U251/1000</f>
        <v>242.27607361963192</v>
      </c>
      <c r="W251" s="72">
        <f>P251*U251/1000</f>
        <v>37.282929447852759</v>
      </c>
      <c r="X251" s="72">
        <v>2.2999999999999998</v>
      </c>
      <c r="Y251" s="72">
        <v>28.680981595092032</v>
      </c>
      <c r="Z251" s="73">
        <v>17.208588957055216</v>
      </c>
      <c r="AA251" s="73">
        <v>52.147239263803684</v>
      </c>
      <c r="AB251" s="73">
        <v>2.6073619631901841</v>
      </c>
      <c r="AC251" s="72"/>
      <c r="AD251" s="72">
        <f>$N251*1000*$X251*0.01*$S251*0.001</f>
        <v>242.27607361963192</v>
      </c>
      <c r="AE251" s="72">
        <f>$N251*1000*$X251*0.01*$P251*0.001</f>
        <v>37.282929447852759</v>
      </c>
      <c r="AF251" s="72"/>
      <c r="AG251" s="72"/>
      <c r="AH251" s="74"/>
      <c r="AI251" s="72"/>
      <c r="AJ251" s="72"/>
      <c r="AK251" s="72"/>
      <c r="AL251" s="72"/>
    </row>
    <row r="252" spans="1:38">
      <c r="A252" s="65">
        <v>251</v>
      </c>
      <c r="B252" s="149">
        <v>2010</v>
      </c>
      <c r="C252" s="79" t="s">
        <v>136</v>
      </c>
      <c r="D252" s="67" t="s">
        <v>105</v>
      </c>
      <c r="E252" s="67" t="s">
        <v>21</v>
      </c>
      <c r="F252" s="67" t="s">
        <v>36</v>
      </c>
      <c r="G252" s="77" t="s">
        <v>49</v>
      </c>
      <c r="H252" s="68">
        <v>40257</v>
      </c>
      <c r="I252" s="68"/>
      <c r="K252" s="70">
        <v>1.42</v>
      </c>
      <c r="L252" s="48">
        <v>10</v>
      </c>
      <c r="M252" s="48"/>
      <c r="N252" s="71">
        <f t="shared" si="10"/>
        <v>7.042253521126761</v>
      </c>
      <c r="O252" s="48" t="s">
        <v>3</v>
      </c>
      <c r="P252" s="72"/>
      <c r="Q252" s="72"/>
      <c r="R252" s="72"/>
      <c r="S252" s="72"/>
      <c r="T252" s="72"/>
      <c r="U252" s="72"/>
      <c r="V252" s="72"/>
      <c r="W252" s="72"/>
      <c r="X252" s="72"/>
      <c r="Y252" s="72"/>
      <c r="Z252" s="72"/>
      <c r="AA252" s="72"/>
      <c r="AB252" s="72"/>
      <c r="AC252" s="72"/>
      <c r="AD252" s="72"/>
      <c r="AE252" s="72"/>
      <c r="AF252" s="72"/>
      <c r="AG252" s="72"/>
      <c r="AH252" s="74"/>
      <c r="AI252" s="72"/>
      <c r="AJ252" s="72"/>
      <c r="AK252" s="72"/>
      <c r="AL252" s="72"/>
    </row>
    <row r="253" spans="1:38">
      <c r="A253" s="65">
        <v>252</v>
      </c>
      <c r="B253" s="149">
        <v>2010</v>
      </c>
      <c r="C253" s="79" t="s">
        <v>136</v>
      </c>
      <c r="D253" s="67" t="s">
        <v>105</v>
      </c>
      <c r="E253" s="67" t="s">
        <v>24</v>
      </c>
      <c r="F253" s="67" t="s">
        <v>40</v>
      </c>
      <c r="G253" s="67"/>
      <c r="H253" s="68">
        <v>40261</v>
      </c>
      <c r="I253" s="68"/>
      <c r="K253" s="70">
        <v>3.26</v>
      </c>
      <c r="L253" s="72"/>
      <c r="M253" s="72"/>
      <c r="N253" s="71" t="str">
        <f t="shared" si="10"/>
        <v/>
      </c>
      <c r="P253" s="72"/>
      <c r="Q253" s="72"/>
      <c r="R253" s="72"/>
      <c r="S253" s="72"/>
      <c r="T253" s="72"/>
      <c r="U253" s="72"/>
      <c r="V253" s="72"/>
      <c r="W253" s="72"/>
      <c r="X253" s="72"/>
      <c r="Y253" s="72"/>
      <c r="Z253" s="72"/>
      <c r="AA253" s="72"/>
      <c r="AB253" s="72"/>
      <c r="AC253" s="72"/>
      <c r="AD253" s="72"/>
      <c r="AE253" s="72"/>
      <c r="AF253" s="72"/>
      <c r="AG253" s="72"/>
      <c r="AH253" s="74"/>
      <c r="AI253" s="72"/>
      <c r="AJ253" s="72"/>
      <c r="AK253" s="72"/>
      <c r="AL253" s="72"/>
    </row>
    <row r="254" spans="1:38">
      <c r="A254" s="65">
        <v>253</v>
      </c>
      <c r="B254" s="149">
        <v>2010</v>
      </c>
      <c r="C254" s="79" t="s">
        <v>136</v>
      </c>
      <c r="D254" s="67" t="s">
        <v>105</v>
      </c>
      <c r="E254" s="67" t="s">
        <v>23</v>
      </c>
      <c r="F254" s="67" t="s">
        <v>27</v>
      </c>
      <c r="G254" s="67" t="s">
        <v>45</v>
      </c>
      <c r="H254" s="68">
        <v>40274</v>
      </c>
      <c r="I254" s="68">
        <v>40301</v>
      </c>
      <c r="J254" s="69">
        <v>1</v>
      </c>
      <c r="K254" s="70">
        <v>3.26</v>
      </c>
      <c r="L254" s="71">
        <v>60</v>
      </c>
      <c r="M254" s="71"/>
      <c r="N254" s="71">
        <f t="shared" si="10"/>
        <v>18.404907975460123</v>
      </c>
      <c r="O254" s="48" t="s">
        <v>64</v>
      </c>
      <c r="P254" s="72"/>
      <c r="Q254" s="72"/>
      <c r="R254" s="72"/>
      <c r="S254" s="72"/>
      <c r="T254" s="72"/>
      <c r="U254" s="72"/>
      <c r="V254" s="72"/>
      <c r="W254" s="72"/>
      <c r="X254" s="72"/>
      <c r="Y254" s="72"/>
      <c r="Z254" s="72"/>
      <c r="AA254" s="72"/>
      <c r="AB254" s="72"/>
      <c r="AC254" s="72">
        <f>N254*AG254*AF254</f>
        <v>745.398773006135</v>
      </c>
      <c r="AD254" s="72">
        <f>$AC254*0.4089</f>
        <v>304.79355828220861</v>
      </c>
      <c r="AE254" s="72">
        <f>$AC254*0.0263</f>
        <v>19.603987730061352</v>
      </c>
      <c r="AF254" s="72">
        <v>27</v>
      </c>
      <c r="AG254" s="72">
        <v>1.5</v>
      </c>
      <c r="AI254" s="72"/>
      <c r="AJ254" s="72"/>
      <c r="AK254" s="72"/>
      <c r="AL254" s="72"/>
    </row>
    <row r="255" spans="1:38">
      <c r="A255" s="65">
        <v>254</v>
      </c>
      <c r="B255" s="149">
        <v>2010</v>
      </c>
      <c r="C255" s="79" t="s">
        <v>136</v>
      </c>
      <c r="D255" s="67" t="s">
        <v>105</v>
      </c>
      <c r="E255" s="67" t="s">
        <v>21</v>
      </c>
      <c r="F255" s="67" t="s">
        <v>36</v>
      </c>
      <c r="G255" s="77" t="s">
        <v>49</v>
      </c>
      <c r="H255" s="68">
        <v>40280</v>
      </c>
      <c r="I255" s="68"/>
      <c r="K255" s="70">
        <v>3.26</v>
      </c>
      <c r="L255" s="48">
        <v>30</v>
      </c>
      <c r="M255" s="48"/>
      <c r="N255" s="71">
        <f t="shared" si="10"/>
        <v>9.2024539877300615</v>
      </c>
      <c r="O255" s="48" t="s">
        <v>3</v>
      </c>
      <c r="P255" s="72"/>
      <c r="Q255" s="72"/>
      <c r="R255" s="72"/>
      <c r="S255" s="72"/>
      <c r="T255" s="72"/>
      <c r="U255" s="72"/>
      <c r="V255" s="72"/>
      <c r="W255" s="72"/>
      <c r="X255" s="72"/>
      <c r="Y255" s="72"/>
      <c r="Z255" s="72"/>
      <c r="AA255" s="72"/>
      <c r="AB255" s="72"/>
      <c r="AC255" s="72"/>
      <c r="AD255" s="72"/>
      <c r="AE255" s="72"/>
      <c r="AF255" s="72"/>
      <c r="AG255" s="72"/>
      <c r="AH255" s="74"/>
      <c r="AI255" s="72"/>
      <c r="AJ255" s="72"/>
      <c r="AK255" s="72"/>
      <c r="AL255" s="72"/>
    </row>
    <row r="256" spans="1:38">
      <c r="A256" s="65">
        <v>255</v>
      </c>
      <c r="B256" s="149">
        <v>2010</v>
      </c>
      <c r="C256" s="79" t="s">
        <v>136</v>
      </c>
      <c r="D256" s="67" t="s">
        <v>105</v>
      </c>
      <c r="E256" s="67" t="s">
        <v>23</v>
      </c>
      <c r="F256" s="67" t="s">
        <v>27</v>
      </c>
      <c r="G256" s="67" t="s">
        <v>45</v>
      </c>
      <c r="H256" s="68">
        <v>40283</v>
      </c>
      <c r="I256" s="68">
        <v>40301</v>
      </c>
      <c r="J256" s="69">
        <v>1</v>
      </c>
      <c r="K256" s="70">
        <v>3.26</v>
      </c>
      <c r="L256" s="71">
        <v>50</v>
      </c>
      <c r="M256" s="71"/>
      <c r="N256" s="71">
        <f>IF(L256/K256&gt;0, L256/K256,"")</f>
        <v>15.337423312883436</v>
      </c>
      <c r="O256" s="48" t="s">
        <v>64</v>
      </c>
      <c r="P256" s="72"/>
      <c r="Q256" s="72"/>
      <c r="R256" s="72"/>
      <c r="S256" s="72"/>
      <c r="T256" s="72"/>
      <c r="U256" s="72"/>
      <c r="V256" s="72"/>
      <c r="W256" s="72"/>
      <c r="X256" s="72"/>
      <c r="Y256" s="72"/>
      <c r="Z256" s="72"/>
      <c r="AA256" s="72"/>
      <c r="AB256" s="72"/>
      <c r="AC256" s="72">
        <f>N256*AG256*AF256</f>
        <v>414.11042944785277</v>
      </c>
      <c r="AD256" s="72">
        <f>$AC256*0.4089</f>
        <v>169.32975460122699</v>
      </c>
      <c r="AE256" s="72">
        <f>$AC256*0.0263</f>
        <v>10.891104294478527</v>
      </c>
      <c r="AF256" s="72">
        <v>18</v>
      </c>
      <c r="AG256" s="72">
        <v>1.5</v>
      </c>
      <c r="AI256" s="72"/>
      <c r="AJ256" s="72"/>
      <c r="AK256" s="72"/>
      <c r="AL256" s="72"/>
    </row>
    <row r="257" spans="1:38">
      <c r="A257" s="65">
        <v>256</v>
      </c>
      <c r="B257" s="149">
        <v>2010</v>
      </c>
      <c r="C257" s="79" t="s">
        <v>136</v>
      </c>
      <c r="D257" s="67" t="s">
        <v>105</v>
      </c>
      <c r="E257" s="67" t="s">
        <v>21</v>
      </c>
      <c r="F257" s="67" t="s">
        <v>36</v>
      </c>
      <c r="G257" s="77" t="s">
        <v>48</v>
      </c>
      <c r="H257" s="68">
        <v>40287</v>
      </c>
      <c r="I257" s="68"/>
      <c r="K257" s="70">
        <v>3.26</v>
      </c>
      <c r="L257" s="48">
        <v>20</v>
      </c>
      <c r="M257" s="48"/>
      <c r="N257" s="71">
        <f t="shared" si="10"/>
        <v>6.1349693251533743</v>
      </c>
      <c r="O257" s="48" t="s">
        <v>3</v>
      </c>
      <c r="P257" s="72"/>
      <c r="Q257" s="72"/>
      <c r="R257" s="72"/>
      <c r="S257" s="72"/>
      <c r="T257" s="72"/>
      <c r="U257" s="72"/>
      <c r="V257" s="72"/>
      <c r="W257" s="72"/>
      <c r="X257" s="72"/>
      <c r="Y257" s="72"/>
      <c r="Z257" s="72"/>
      <c r="AA257" s="72"/>
      <c r="AB257" s="72"/>
      <c r="AC257" s="72"/>
      <c r="AD257" s="72"/>
      <c r="AE257" s="72"/>
      <c r="AF257" s="72"/>
      <c r="AG257" s="72"/>
      <c r="AH257" s="74"/>
      <c r="AI257" s="72"/>
      <c r="AJ257" s="72"/>
      <c r="AK257" s="72"/>
      <c r="AL257" s="72"/>
    </row>
    <row r="258" spans="1:38">
      <c r="A258" s="65">
        <v>257</v>
      </c>
      <c r="B258" s="149">
        <v>2010</v>
      </c>
      <c r="C258" s="79" t="s">
        <v>136</v>
      </c>
      <c r="D258" s="67" t="s">
        <v>105</v>
      </c>
      <c r="E258" s="67" t="s">
        <v>21</v>
      </c>
      <c r="F258" s="67" t="s">
        <v>36</v>
      </c>
      <c r="G258" s="67" t="s">
        <v>50</v>
      </c>
      <c r="H258" s="68">
        <v>40291</v>
      </c>
      <c r="I258" s="68"/>
      <c r="K258" s="70">
        <v>3.26</v>
      </c>
      <c r="L258" s="48">
        <v>10</v>
      </c>
      <c r="M258" s="48"/>
      <c r="N258" s="71">
        <f t="shared" si="10"/>
        <v>3.0674846625766872</v>
      </c>
      <c r="O258" s="48" t="s">
        <v>3</v>
      </c>
      <c r="P258" s="72"/>
      <c r="Q258" s="72"/>
      <c r="R258" s="72"/>
      <c r="S258" s="72"/>
      <c r="T258" s="72"/>
      <c r="U258" s="72"/>
      <c r="V258" s="72"/>
      <c r="W258" s="72"/>
      <c r="X258" s="72"/>
      <c r="Y258" s="72"/>
      <c r="Z258" s="72"/>
      <c r="AA258" s="72"/>
      <c r="AB258" s="72"/>
      <c r="AC258" s="72"/>
      <c r="AD258" s="72"/>
      <c r="AE258" s="72"/>
      <c r="AF258" s="72"/>
      <c r="AG258" s="72"/>
      <c r="AH258" s="74"/>
      <c r="AI258" s="72"/>
      <c r="AJ258" s="72"/>
      <c r="AK258" s="72"/>
      <c r="AL258" s="72"/>
    </row>
    <row r="259" spans="1:38">
      <c r="A259" s="65">
        <v>258</v>
      </c>
      <c r="B259" s="149">
        <v>2010</v>
      </c>
      <c r="C259" s="79" t="s">
        <v>136</v>
      </c>
      <c r="D259" s="67" t="s">
        <v>105</v>
      </c>
      <c r="E259" s="67" t="s">
        <v>21</v>
      </c>
      <c r="F259" s="67" t="s">
        <v>36</v>
      </c>
      <c r="G259" s="67" t="s">
        <v>50</v>
      </c>
      <c r="H259" s="68">
        <v>40296</v>
      </c>
      <c r="I259" s="68"/>
      <c r="K259" s="70">
        <v>3.26</v>
      </c>
      <c r="L259" s="48">
        <v>10</v>
      </c>
      <c r="M259" s="48"/>
      <c r="N259" s="71">
        <f t="shared" si="10"/>
        <v>3.0674846625766872</v>
      </c>
      <c r="O259" s="48" t="s">
        <v>3</v>
      </c>
      <c r="P259" s="72"/>
      <c r="Q259" s="72"/>
      <c r="R259" s="72"/>
      <c r="S259" s="72"/>
      <c r="T259" s="72"/>
      <c r="U259" s="72"/>
      <c r="V259" s="72"/>
      <c r="W259" s="72"/>
      <c r="X259" s="72"/>
      <c r="Y259" s="72"/>
      <c r="Z259" s="72"/>
      <c r="AA259" s="72"/>
      <c r="AB259" s="72"/>
      <c r="AC259" s="72"/>
      <c r="AD259" s="72"/>
      <c r="AE259" s="72"/>
      <c r="AF259" s="72"/>
      <c r="AG259" s="72"/>
      <c r="AH259" s="74"/>
      <c r="AI259" s="72"/>
      <c r="AJ259" s="72"/>
      <c r="AK259" s="72"/>
      <c r="AL259" s="72"/>
    </row>
    <row r="260" spans="1:38">
      <c r="A260" s="65">
        <v>259</v>
      </c>
      <c r="B260" s="149">
        <f>2010</f>
        <v>2010</v>
      </c>
      <c r="C260" s="79" t="s">
        <v>136</v>
      </c>
      <c r="D260" s="67" t="s">
        <v>105</v>
      </c>
      <c r="E260" s="67" t="s">
        <v>23</v>
      </c>
      <c r="F260" s="67" t="s">
        <v>27</v>
      </c>
      <c r="G260" s="67" t="s">
        <v>45</v>
      </c>
      <c r="H260" s="68">
        <v>40312</v>
      </c>
      <c r="I260" s="68">
        <v>40325</v>
      </c>
      <c r="J260" s="69">
        <v>2</v>
      </c>
      <c r="K260" s="70">
        <v>3.26</v>
      </c>
      <c r="L260" s="71">
        <v>40</v>
      </c>
      <c r="M260" s="71"/>
      <c r="N260" s="71">
        <f t="shared" si="10"/>
        <v>12.269938650306749</v>
      </c>
      <c r="O260" s="48" t="s">
        <v>64</v>
      </c>
      <c r="P260" s="72"/>
      <c r="Q260" s="72"/>
      <c r="R260" s="72"/>
      <c r="S260" s="72"/>
      <c r="T260" s="72"/>
      <c r="U260" s="72"/>
      <c r="V260" s="72"/>
      <c r="W260" s="72"/>
      <c r="X260" s="72"/>
      <c r="Y260" s="72"/>
      <c r="Z260" s="72"/>
      <c r="AA260" s="72"/>
      <c r="AB260" s="72"/>
      <c r="AC260" s="72">
        <f>N260*AG260*AF260</f>
        <v>239.2638036809816</v>
      </c>
      <c r="AD260" s="72">
        <f>$AC260*0.4089</f>
        <v>97.834969325153367</v>
      </c>
      <c r="AE260" s="72">
        <f>$AC260*0.0263</f>
        <v>6.2926380368098158</v>
      </c>
      <c r="AF260" s="72">
        <v>13</v>
      </c>
      <c r="AG260" s="72">
        <v>1.5</v>
      </c>
      <c r="AI260" s="72"/>
      <c r="AJ260" s="72"/>
      <c r="AK260" s="72"/>
      <c r="AL260" s="72"/>
    </row>
    <row r="261" spans="1:38">
      <c r="A261" s="65">
        <v>260</v>
      </c>
      <c r="B261" s="149">
        <v>2010</v>
      </c>
      <c r="C261" s="79" t="s">
        <v>136</v>
      </c>
      <c r="D261" s="67" t="s">
        <v>105</v>
      </c>
      <c r="E261" s="67" t="s">
        <v>23</v>
      </c>
      <c r="F261" s="67" t="s">
        <v>27</v>
      </c>
      <c r="G261" s="67" t="s">
        <v>45</v>
      </c>
      <c r="H261" s="68">
        <v>40313</v>
      </c>
      <c r="I261" s="68">
        <v>40317</v>
      </c>
      <c r="J261" s="69">
        <v>2</v>
      </c>
      <c r="K261" s="70">
        <v>3.26</v>
      </c>
      <c r="L261" s="71">
        <v>60</v>
      </c>
      <c r="M261" s="71"/>
      <c r="N261" s="71">
        <f t="shared" si="10"/>
        <v>18.404907975460123</v>
      </c>
      <c r="O261" s="48" t="s">
        <v>64</v>
      </c>
      <c r="P261" s="72"/>
      <c r="Q261" s="72"/>
      <c r="R261" s="72"/>
      <c r="S261" s="72"/>
      <c r="T261" s="72"/>
      <c r="U261" s="72"/>
      <c r="V261" s="72"/>
      <c r="W261" s="72"/>
      <c r="X261" s="72"/>
      <c r="Y261" s="72"/>
      <c r="Z261" s="72"/>
      <c r="AA261" s="72"/>
      <c r="AB261" s="72"/>
      <c r="AC261" s="72">
        <f>N261*AG261*AF261</f>
        <v>110.42944785276075</v>
      </c>
      <c r="AD261" s="72">
        <f>$AC261*0.4089</f>
        <v>45.154601226993869</v>
      </c>
      <c r="AE261" s="72">
        <f>$AC261*0.0263</f>
        <v>2.9042944785276075</v>
      </c>
      <c r="AF261" s="72">
        <v>4</v>
      </c>
      <c r="AG261" s="72">
        <v>1.5</v>
      </c>
      <c r="AI261" s="72"/>
      <c r="AJ261" s="72"/>
      <c r="AK261" s="72"/>
      <c r="AL261" s="72"/>
    </row>
    <row r="262" spans="1:38">
      <c r="A262" s="65">
        <v>261</v>
      </c>
      <c r="B262" s="149">
        <v>2010</v>
      </c>
      <c r="C262" s="79" t="s">
        <v>136</v>
      </c>
      <c r="D262" s="67" t="s">
        <v>105</v>
      </c>
      <c r="E262" s="67" t="s">
        <v>23</v>
      </c>
      <c r="F262" s="67" t="s">
        <v>33</v>
      </c>
      <c r="G262" s="67" t="s">
        <v>34</v>
      </c>
      <c r="H262" s="68">
        <v>40320</v>
      </c>
      <c r="I262" s="68">
        <v>40322</v>
      </c>
      <c r="J262" s="69">
        <v>1</v>
      </c>
      <c r="K262" s="70">
        <v>3.26</v>
      </c>
      <c r="L262" s="48">
        <v>2</v>
      </c>
      <c r="M262" s="48"/>
      <c r="N262" s="71">
        <f t="shared" si="10"/>
        <v>0.61349693251533743</v>
      </c>
      <c r="O262" s="48" t="s">
        <v>65</v>
      </c>
      <c r="P262" s="72"/>
      <c r="Q262" s="72"/>
      <c r="R262" s="72"/>
      <c r="S262" s="72"/>
      <c r="T262" s="72"/>
      <c r="U262" s="72"/>
      <c r="V262" s="72"/>
      <c r="W262" s="72"/>
      <c r="X262" s="72">
        <v>37</v>
      </c>
      <c r="Y262" s="72"/>
      <c r="Z262" s="72"/>
      <c r="AA262" s="72"/>
      <c r="AB262" s="72"/>
      <c r="AC262" s="72">
        <f>N262*AG262*X262*0.01</f>
        <v>680.98159509202458</v>
      </c>
      <c r="AD262" s="72">
        <f>$AC262*0.4089</f>
        <v>278.45337423312884</v>
      </c>
      <c r="AE262" s="72">
        <f>$AC262*0.0263</f>
        <v>17.909815950920247</v>
      </c>
      <c r="AF262" s="72"/>
      <c r="AG262" s="72">
        <v>3000</v>
      </c>
      <c r="AI262" s="72"/>
      <c r="AJ262" s="72"/>
      <c r="AK262" s="72"/>
      <c r="AL262" s="72"/>
    </row>
    <row r="263" spans="1:38">
      <c r="A263" s="65">
        <v>262</v>
      </c>
      <c r="B263" s="149">
        <v>2010</v>
      </c>
      <c r="C263" s="79" t="s">
        <v>136</v>
      </c>
      <c r="D263" s="67" t="s">
        <v>105</v>
      </c>
      <c r="E263" s="67" t="s">
        <v>15</v>
      </c>
      <c r="F263" s="67" t="s">
        <v>35</v>
      </c>
      <c r="G263" s="67" t="s">
        <v>46</v>
      </c>
      <c r="H263" s="68">
        <v>40325</v>
      </c>
      <c r="I263" s="68"/>
      <c r="K263" s="70">
        <v>3.26</v>
      </c>
      <c r="L263" s="48">
        <v>40</v>
      </c>
      <c r="M263" s="48"/>
      <c r="N263" s="71">
        <f t="shared" si="10"/>
        <v>12.269938650306749</v>
      </c>
      <c r="O263" s="48" t="s">
        <v>5</v>
      </c>
      <c r="P263" s="72">
        <v>141.32</v>
      </c>
      <c r="Q263" s="72">
        <v>52.1</v>
      </c>
      <c r="R263" s="72">
        <v>4.79</v>
      </c>
      <c r="S263" s="72">
        <v>371.25</v>
      </c>
      <c r="T263" s="73">
        <v>2.63</v>
      </c>
      <c r="U263" s="72">
        <f>N263*1000*X263/100</f>
        <v>204.90797546012269</v>
      </c>
      <c r="V263" s="72">
        <f>S263*U263/1000</f>
        <v>76.072085889570545</v>
      </c>
      <c r="W263" s="72">
        <f>P263*U263/1000</f>
        <v>28.957595092024537</v>
      </c>
      <c r="X263" s="72">
        <v>1.67</v>
      </c>
      <c r="Y263" s="72">
        <v>13.496932515337424</v>
      </c>
      <c r="Z263" s="73">
        <v>8.0981595092024552</v>
      </c>
      <c r="AA263" s="73">
        <v>24.539877300613497</v>
      </c>
      <c r="AB263" s="73">
        <v>1.2269938650306749</v>
      </c>
      <c r="AC263" s="72"/>
      <c r="AD263" s="72">
        <f>$N263*1000*$X263*0.01*$S263*0.001</f>
        <v>76.072085889570545</v>
      </c>
      <c r="AE263" s="72">
        <f>$N263*1000*$X263*0.01*$P263*0.001</f>
        <v>28.957595092024537</v>
      </c>
      <c r="AF263" s="72"/>
      <c r="AG263" s="72"/>
      <c r="AH263" s="74"/>
      <c r="AI263" s="72"/>
      <c r="AJ263" s="72"/>
      <c r="AK263" s="72"/>
      <c r="AL263" s="72"/>
    </row>
    <row r="264" spans="1:38">
      <c r="A264" s="65">
        <v>263</v>
      </c>
      <c r="B264" s="149">
        <f>2010</f>
        <v>2010</v>
      </c>
      <c r="C264" s="79" t="s">
        <v>136</v>
      </c>
      <c r="D264" s="67" t="s">
        <v>105</v>
      </c>
      <c r="E264" s="67" t="s">
        <v>23</v>
      </c>
      <c r="F264" s="67" t="s">
        <v>27</v>
      </c>
      <c r="G264" s="67" t="s">
        <v>45</v>
      </c>
      <c r="H264" s="68">
        <v>40332</v>
      </c>
      <c r="I264" s="68">
        <v>40335</v>
      </c>
      <c r="J264" s="69">
        <v>2</v>
      </c>
      <c r="K264" s="70">
        <v>3.26</v>
      </c>
      <c r="L264" s="71">
        <v>160</v>
      </c>
      <c r="M264" s="71"/>
      <c r="N264" s="71">
        <f t="shared" si="10"/>
        <v>49.079754601226995</v>
      </c>
      <c r="O264" s="48" t="s">
        <v>64</v>
      </c>
      <c r="P264" s="72"/>
      <c r="Q264" s="72"/>
      <c r="R264" s="72"/>
      <c r="S264" s="72"/>
      <c r="T264" s="72"/>
      <c r="U264" s="72"/>
      <c r="V264" s="72"/>
      <c r="W264" s="72"/>
      <c r="X264" s="72"/>
      <c r="Y264" s="72"/>
      <c r="Z264" s="72"/>
      <c r="AA264" s="72"/>
      <c r="AB264" s="72"/>
      <c r="AC264" s="72">
        <f>N264*AG264*AF264</f>
        <v>220.85889570552149</v>
      </c>
      <c r="AD264" s="72">
        <f>$AC264*0.4089</f>
        <v>90.309202453987737</v>
      </c>
      <c r="AE264" s="72">
        <f>$AC264*0.0263</f>
        <v>5.8085889570552149</v>
      </c>
      <c r="AF264" s="72">
        <v>3</v>
      </c>
      <c r="AG264" s="72">
        <v>1.5</v>
      </c>
      <c r="AI264" s="72"/>
      <c r="AJ264" s="72"/>
      <c r="AK264" s="72"/>
      <c r="AL264" s="72"/>
    </row>
    <row r="265" spans="1:38">
      <c r="A265" s="65">
        <v>264</v>
      </c>
      <c r="B265" s="149">
        <v>2010</v>
      </c>
      <c r="C265" s="79" t="s">
        <v>136</v>
      </c>
      <c r="D265" s="67" t="s">
        <v>105</v>
      </c>
      <c r="E265" s="67" t="s">
        <v>23</v>
      </c>
      <c r="F265" s="67" t="s">
        <v>27</v>
      </c>
      <c r="G265" s="75" t="s">
        <v>45</v>
      </c>
      <c r="H265" s="68">
        <v>40350</v>
      </c>
      <c r="I265" s="68">
        <v>40351</v>
      </c>
      <c r="J265" s="69">
        <v>2</v>
      </c>
      <c r="K265" s="70">
        <v>3.26</v>
      </c>
      <c r="L265" s="71">
        <v>160</v>
      </c>
      <c r="M265" s="71"/>
      <c r="N265" s="71">
        <f t="shared" si="10"/>
        <v>49.079754601226995</v>
      </c>
      <c r="O265" s="48" t="s">
        <v>64</v>
      </c>
      <c r="P265" s="72"/>
      <c r="Q265" s="72"/>
      <c r="R265" s="72"/>
      <c r="S265" s="72"/>
      <c r="T265" s="72"/>
      <c r="U265" s="72"/>
      <c r="V265" s="72"/>
      <c r="W265" s="72"/>
      <c r="X265" s="72"/>
      <c r="Y265" s="72"/>
      <c r="Z265" s="72"/>
      <c r="AA265" s="72"/>
      <c r="AB265" s="72"/>
      <c r="AC265" s="72">
        <f>N265*AG265*AF265</f>
        <v>73.619631901840492</v>
      </c>
      <c r="AD265" s="72">
        <f>$AC265*0.4089</f>
        <v>30.103067484662578</v>
      </c>
      <c r="AE265" s="72">
        <f>$AC265*0.0263</f>
        <v>1.9361963190184051</v>
      </c>
      <c r="AF265" s="72">
        <v>1</v>
      </c>
      <c r="AG265" s="72">
        <v>1.5</v>
      </c>
      <c r="AI265" s="72"/>
      <c r="AJ265" s="72"/>
      <c r="AK265" s="72"/>
      <c r="AL265" s="72"/>
    </row>
    <row r="266" spans="1:38">
      <c r="A266" s="65">
        <v>265</v>
      </c>
      <c r="B266" s="149">
        <v>2010</v>
      </c>
      <c r="C266" s="79" t="s">
        <v>136</v>
      </c>
      <c r="D266" s="67" t="s">
        <v>105</v>
      </c>
      <c r="E266" s="67" t="s">
        <v>23</v>
      </c>
      <c r="F266" s="67" t="s">
        <v>33</v>
      </c>
      <c r="G266" s="67" t="s">
        <v>43</v>
      </c>
      <c r="H266" s="68">
        <v>40357</v>
      </c>
      <c r="I266" s="68">
        <v>40358</v>
      </c>
      <c r="J266" s="69">
        <v>2</v>
      </c>
      <c r="K266" s="70">
        <v>3.26</v>
      </c>
      <c r="L266" s="48">
        <v>80</v>
      </c>
      <c r="M266" s="48"/>
      <c r="N266" s="71">
        <f t="shared" si="10"/>
        <v>24.539877300613497</v>
      </c>
      <c r="O266" s="82" t="s">
        <v>69</v>
      </c>
      <c r="P266" s="72"/>
      <c r="Q266" s="72"/>
      <c r="R266" s="72"/>
      <c r="S266" s="72"/>
      <c r="T266" s="72"/>
      <c r="U266" s="72"/>
      <c r="V266" s="72"/>
      <c r="W266" s="72"/>
      <c r="X266" s="72">
        <v>86</v>
      </c>
      <c r="Y266" s="72"/>
      <c r="Z266" s="72"/>
      <c r="AA266" s="72"/>
      <c r="AB266" s="72"/>
      <c r="AC266" s="72">
        <f>N266*AG266*X266*0.01</f>
        <v>559.2638036809816</v>
      </c>
      <c r="AD266" s="72">
        <f>$AC266*0.4089</f>
        <v>228.68296932515338</v>
      </c>
      <c r="AE266" s="72">
        <f>$AC266*0.0263</f>
        <v>14.708638036809816</v>
      </c>
      <c r="AF266" s="72"/>
      <c r="AG266" s="72">
        <v>26.5</v>
      </c>
      <c r="AI266" s="72"/>
      <c r="AJ266" s="72"/>
      <c r="AK266" s="72"/>
      <c r="AL266" s="72"/>
    </row>
    <row r="267" spans="1:38">
      <c r="A267" s="65">
        <v>266</v>
      </c>
      <c r="B267" s="149">
        <v>2010</v>
      </c>
      <c r="C267" s="79" t="s">
        <v>136</v>
      </c>
      <c r="D267" s="67" t="s">
        <v>105</v>
      </c>
      <c r="E267" s="67" t="s">
        <v>15</v>
      </c>
      <c r="F267" s="67" t="s">
        <v>35</v>
      </c>
      <c r="G267" s="67" t="s">
        <v>46</v>
      </c>
      <c r="H267" s="68">
        <v>40365</v>
      </c>
      <c r="I267" s="68"/>
      <c r="K267" s="70">
        <v>3.26</v>
      </c>
      <c r="L267" s="48">
        <v>83</v>
      </c>
      <c r="M267" s="48"/>
      <c r="N267" s="71">
        <f t="shared" si="10"/>
        <v>25.460122699386506</v>
      </c>
      <c r="O267" s="48" t="s">
        <v>5</v>
      </c>
      <c r="P267" s="72">
        <v>29.19</v>
      </c>
      <c r="Q267" s="72">
        <v>7.94</v>
      </c>
      <c r="R267" s="72">
        <v>0.17</v>
      </c>
      <c r="S267" s="72">
        <v>487.88</v>
      </c>
      <c r="T267" s="73">
        <v>16.72</v>
      </c>
      <c r="U267" s="72">
        <f>N267*1000*X267/100</f>
        <v>1474.1411042944787</v>
      </c>
      <c r="V267" s="72">
        <f>S267*U267/1000</f>
        <v>719.20396196319018</v>
      </c>
      <c r="W267" s="72">
        <f>P267*U267/1000</f>
        <v>43.030178834355837</v>
      </c>
      <c r="X267" s="72">
        <v>5.79</v>
      </c>
      <c r="Y267" s="72">
        <v>17.822085889570552</v>
      </c>
      <c r="Z267" s="73">
        <v>15.276073619631902</v>
      </c>
      <c r="AA267" s="73">
        <v>66.196319018404921</v>
      </c>
      <c r="AB267" s="73">
        <v>2.5460122699386507</v>
      </c>
      <c r="AC267" s="72"/>
      <c r="AD267" s="72">
        <f>$N267*1000*$X267*0.01*$S267*0.001</f>
        <v>719.2039619631903</v>
      </c>
      <c r="AE267" s="72">
        <f>$N267*1000*$X267*0.01*$P267*0.001</f>
        <v>43.030178834355837</v>
      </c>
      <c r="AF267" s="72"/>
      <c r="AG267" s="72"/>
      <c r="AH267" s="74"/>
      <c r="AI267" s="72"/>
      <c r="AJ267" s="72"/>
      <c r="AK267" s="72"/>
      <c r="AL267" s="72"/>
    </row>
    <row r="268" spans="1:38">
      <c r="A268" s="65">
        <v>267</v>
      </c>
      <c r="B268" s="149">
        <v>2010</v>
      </c>
      <c r="C268" s="79" t="s">
        <v>136</v>
      </c>
      <c r="D268" s="67" t="s">
        <v>105</v>
      </c>
      <c r="E268" s="67" t="s">
        <v>24</v>
      </c>
      <c r="F268" s="67" t="s">
        <v>31</v>
      </c>
      <c r="G268" s="67" t="s">
        <v>183</v>
      </c>
      <c r="H268" s="68">
        <v>40373</v>
      </c>
      <c r="I268" s="68"/>
      <c r="K268" s="70">
        <v>3.26</v>
      </c>
      <c r="L268" s="72"/>
      <c r="M268" s="72"/>
      <c r="N268" s="71" t="str">
        <f t="shared" si="10"/>
        <v/>
      </c>
      <c r="P268" s="72"/>
      <c r="Q268" s="72"/>
      <c r="R268" s="72"/>
      <c r="S268" s="72"/>
      <c r="T268" s="72"/>
      <c r="U268" s="72"/>
      <c r="V268" s="72"/>
      <c r="W268" s="72"/>
      <c r="X268" s="72"/>
      <c r="Y268" s="72"/>
      <c r="Z268" s="72"/>
      <c r="AA268" s="72"/>
      <c r="AB268" s="72"/>
      <c r="AC268" s="72"/>
      <c r="AD268" s="72"/>
      <c r="AE268" s="72"/>
      <c r="AF268" s="72"/>
      <c r="AG268" s="72"/>
      <c r="AH268" s="74"/>
      <c r="AI268" s="72"/>
      <c r="AJ268" s="72"/>
      <c r="AK268" s="72"/>
      <c r="AL268" s="72"/>
    </row>
    <row r="269" spans="1:38">
      <c r="A269" s="65">
        <v>268</v>
      </c>
      <c r="B269" s="149">
        <v>2010</v>
      </c>
      <c r="C269" s="79" t="s">
        <v>136</v>
      </c>
      <c r="D269" s="67" t="s">
        <v>105</v>
      </c>
      <c r="E269" s="67" t="s">
        <v>23</v>
      </c>
      <c r="F269" s="67" t="s">
        <v>33</v>
      </c>
      <c r="G269" s="78" t="s">
        <v>41</v>
      </c>
      <c r="H269" s="68">
        <v>40410</v>
      </c>
      <c r="I269" s="68">
        <v>40412</v>
      </c>
      <c r="J269" s="69">
        <v>3</v>
      </c>
      <c r="K269" s="70">
        <v>3.26</v>
      </c>
      <c r="L269" s="48">
        <v>4</v>
      </c>
      <c r="M269" s="48"/>
      <c r="N269" s="71">
        <f t="shared" si="10"/>
        <v>1.2269938650306749</v>
      </c>
      <c r="O269" s="48" t="s">
        <v>65</v>
      </c>
      <c r="P269" s="72"/>
      <c r="Q269" s="72"/>
      <c r="R269" s="72"/>
      <c r="S269" s="72"/>
      <c r="T269" s="72"/>
      <c r="U269" s="72"/>
      <c r="V269" s="72"/>
      <c r="W269" s="72"/>
      <c r="X269" s="72">
        <v>70</v>
      </c>
      <c r="Y269" s="72"/>
      <c r="Z269" s="72"/>
      <c r="AA269" s="72"/>
      <c r="AB269" s="72"/>
      <c r="AC269" s="72">
        <f>N269*AG269*X269*0.01</f>
        <v>1288.3435582822087</v>
      </c>
      <c r="AD269" s="72">
        <f>$AC269*0.4089</f>
        <v>526.80368098159511</v>
      </c>
      <c r="AE269" s="72">
        <f>$AC269*0.0263</f>
        <v>33.883435582822088</v>
      </c>
      <c r="AF269" s="72"/>
      <c r="AG269" s="72">
        <v>1500</v>
      </c>
      <c r="AI269" s="72"/>
      <c r="AJ269" s="72"/>
      <c r="AK269" s="72"/>
      <c r="AL269" s="72"/>
    </row>
    <row r="270" spans="1:38">
      <c r="A270" s="65">
        <v>269</v>
      </c>
      <c r="B270" s="149">
        <v>2010</v>
      </c>
      <c r="C270" s="79" t="s">
        <v>136</v>
      </c>
      <c r="D270" s="67" t="s">
        <v>105</v>
      </c>
      <c r="E270" s="67" t="s">
        <v>15</v>
      </c>
      <c r="F270" s="67" t="s">
        <v>35</v>
      </c>
      <c r="G270" s="67" t="s">
        <v>46</v>
      </c>
      <c r="H270" s="68">
        <v>40415</v>
      </c>
      <c r="I270" s="68"/>
      <c r="K270" s="70">
        <v>3.26</v>
      </c>
      <c r="L270" s="48">
        <v>91</v>
      </c>
      <c r="M270" s="48"/>
      <c r="N270" s="71">
        <f t="shared" si="10"/>
        <v>27.914110429447856</v>
      </c>
      <c r="O270" s="48" t="s">
        <v>5</v>
      </c>
      <c r="P270" s="72">
        <v>67.88</v>
      </c>
      <c r="Q270" s="72">
        <v>30.66</v>
      </c>
      <c r="R270" s="72">
        <v>0.73</v>
      </c>
      <c r="S270" s="72">
        <v>374.84</v>
      </c>
      <c r="T270" s="73">
        <v>5.52</v>
      </c>
      <c r="U270" s="72">
        <f>N270*1000*X270/100</f>
        <v>382.42331288343564</v>
      </c>
      <c r="V270" s="72">
        <f>S270*U270/1000</f>
        <v>143.34755460122702</v>
      </c>
      <c r="W270" s="72">
        <f>P270*U270/1000</f>
        <v>25.958894478527611</v>
      </c>
      <c r="X270" s="72">
        <v>1.37</v>
      </c>
      <c r="Y270" s="72">
        <v>30.705521472392643</v>
      </c>
      <c r="Z270" s="73">
        <v>18.423312883435585</v>
      </c>
      <c r="AA270" s="73">
        <v>55.828220858895712</v>
      </c>
      <c r="AB270" s="73">
        <v>2.7914110429447851</v>
      </c>
      <c r="AC270" s="72"/>
      <c r="AD270" s="72">
        <f>$N270*1000*$X270*0.01*$S270*0.001</f>
        <v>143.34755460122702</v>
      </c>
      <c r="AE270" s="72">
        <f>$N270*1000*$X270*0.01*$P270*0.001</f>
        <v>25.958894478527611</v>
      </c>
      <c r="AF270" s="72"/>
      <c r="AG270" s="72"/>
      <c r="AH270" s="74"/>
      <c r="AI270" s="72"/>
      <c r="AJ270" s="72"/>
      <c r="AK270" s="72"/>
      <c r="AL270" s="72"/>
    </row>
    <row r="271" spans="1:38">
      <c r="A271" s="65">
        <v>270</v>
      </c>
      <c r="B271" s="149">
        <v>2010</v>
      </c>
      <c r="C271" s="79" t="s">
        <v>136</v>
      </c>
      <c r="D271" s="67" t="s">
        <v>105</v>
      </c>
      <c r="E271" s="67" t="s">
        <v>23</v>
      </c>
      <c r="F271" s="67" t="s">
        <v>27</v>
      </c>
      <c r="G271" s="67" t="s">
        <v>45</v>
      </c>
      <c r="H271" s="68">
        <v>40451</v>
      </c>
      <c r="I271" s="68">
        <v>40452</v>
      </c>
      <c r="J271" s="69">
        <v>4</v>
      </c>
      <c r="K271" s="70">
        <v>3.26</v>
      </c>
      <c r="L271" s="71">
        <v>100</v>
      </c>
      <c r="M271" s="71"/>
      <c r="N271" s="71">
        <f t="shared" si="10"/>
        <v>30.674846625766872</v>
      </c>
      <c r="O271" s="48" t="s">
        <v>64</v>
      </c>
      <c r="P271" s="72"/>
      <c r="Q271" s="72"/>
      <c r="R271" s="72"/>
      <c r="S271" s="72"/>
      <c r="T271" s="72"/>
      <c r="U271" s="72"/>
      <c r="V271" s="72"/>
      <c r="W271" s="72"/>
      <c r="X271" s="72"/>
      <c r="Y271" s="72"/>
      <c r="Z271" s="72"/>
      <c r="AA271" s="72"/>
      <c r="AB271" s="72"/>
      <c r="AC271" s="72">
        <f>N271*AG271*AF271</f>
        <v>46.012269938650306</v>
      </c>
      <c r="AD271" s="72">
        <f>$AC271*0.4089</f>
        <v>18.814417177914109</v>
      </c>
      <c r="AE271" s="72">
        <f>$AC271*0.0263</f>
        <v>1.2101226993865031</v>
      </c>
      <c r="AF271" s="72">
        <v>1</v>
      </c>
      <c r="AG271" s="72">
        <v>1.5</v>
      </c>
      <c r="AI271" s="72"/>
      <c r="AJ271" s="72"/>
      <c r="AK271" s="72"/>
      <c r="AL271" s="72"/>
    </row>
    <row r="272" spans="1:38">
      <c r="A272" s="65">
        <v>271</v>
      </c>
      <c r="B272" s="149">
        <v>2010</v>
      </c>
      <c r="C272" s="79" t="s">
        <v>136</v>
      </c>
      <c r="D272" s="67" t="s">
        <v>105</v>
      </c>
      <c r="E272" s="67" t="s">
        <v>23</v>
      </c>
      <c r="F272" s="67" t="s">
        <v>33</v>
      </c>
      <c r="G272" s="67" t="s">
        <v>34</v>
      </c>
      <c r="H272" s="68">
        <v>40459</v>
      </c>
      <c r="I272" s="68">
        <v>40463</v>
      </c>
      <c r="J272" s="69">
        <v>4</v>
      </c>
      <c r="K272" s="70">
        <v>3.26</v>
      </c>
      <c r="L272" s="48">
        <v>8</v>
      </c>
      <c r="M272" s="48"/>
      <c r="N272" s="71">
        <f t="shared" si="10"/>
        <v>2.4539877300613497</v>
      </c>
      <c r="O272" s="83" t="s">
        <v>68</v>
      </c>
      <c r="P272" s="72"/>
      <c r="Q272" s="72"/>
      <c r="R272" s="72"/>
      <c r="S272" s="72"/>
      <c r="T272" s="72"/>
      <c r="U272" s="72"/>
      <c r="V272" s="72"/>
      <c r="W272" s="72"/>
      <c r="X272" s="72">
        <v>37</v>
      </c>
      <c r="Y272" s="72"/>
      <c r="Z272" s="72"/>
      <c r="AA272" s="72"/>
      <c r="AB272" s="72"/>
      <c r="AC272" s="72">
        <f>N272*AG272*X272*0.01</f>
        <v>558.40490797546011</v>
      </c>
      <c r="AD272" s="72">
        <f>$AC272*0.4089</f>
        <v>228.33176687116563</v>
      </c>
      <c r="AE272" s="72">
        <f>$AC272*0.0263</f>
        <v>14.686049079754602</v>
      </c>
      <c r="AF272" s="72"/>
      <c r="AG272" s="72">
        <v>615</v>
      </c>
      <c r="AI272" s="72"/>
      <c r="AJ272" s="72"/>
      <c r="AK272" s="72"/>
      <c r="AL272" s="72"/>
    </row>
    <row r="273" spans="1:38">
      <c r="A273" s="65">
        <v>272</v>
      </c>
      <c r="B273" s="149">
        <v>2010</v>
      </c>
      <c r="C273" s="79" t="s">
        <v>136</v>
      </c>
      <c r="D273" s="67" t="s">
        <v>105</v>
      </c>
      <c r="E273" s="67" t="s">
        <v>15</v>
      </c>
      <c r="F273" s="67" t="s">
        <v>35</v>
      </c>
      <c r="G273" s="67" t="s">
        <v>46</v>
      </c>
      <c r="H273" s="68">
        <v>40479</v>
      </c>
      <c r="I273" s="68"/>
      <c r="K273" s="70">
        <v>3.26</v>
      </c>
      <c r="L273" s="48">
        <v>132</v>
      </c>
      <c r="M273" s="48"/>
      <c r="N273" s="71">
        <f t="shared" si="10"/>
        <v>40.490797546012274</v>
      </c>
      <c r="O273" s="48" t="s">
        <v>5</v>
      </c>
      <c r="P273" s="72">
        <v>77.25</v>
      </c>
      <c r="Q273" s="72">
        <v>30.69</v>
      </c>
      <c r="R273" s="72">
        <v>1.06</v>
      </c>
      <c r="S273" s="72">
        <v>400.06</v>
      </c>
      <c r="T273" s="73">
        <v>5.18</v>
      </c>
      <c r="U273" s="72">
        <f>N273*1000*X273/100</f>
        <v>765.27607361963192</v>
      </c>
      <c r="V273" s="72">
        <f>S273*U273/1000</f>
        <v>306.15634601226998</v>
      </c>
      <c r="W273" s="72">
        <f>P273*U273/1000</f>
        <v>59.117576687116568</v>
      </c>
      <c r="X273" s="72">
        <v>1.89</v>
      </c>
      <c r="Y273" s="72">
        <v>44.539877300613504</v>
      </c>
      <c r="Z273" s="73">
        <v>26.723926380368102</v>
      </c>
      <c r="AA273" s="73">
        <v>80.981595092024548</v>
      </c>
      <c r="AB273" s="73">
        <v>4.0490797546012276</v>
      </c>
      <c r="AC273" s="72"/>
      <c r="AD273" s="72">
        <f>$N273*1000*$X273*0.01*$S273*0.001</f>
        <v>306.15634601226998</v>
      </c>
      <c r="AE273" s="72">
        <f>$N273*1000*$X273*0.01*$P273*0.001</f>
        <v>59.117576687116568</v>
      </c>
      <c r="AF273" s="72"/>
      <c r="AG273" s="72"/>
      <c r="AH273" s="74"/>
      <c r="AI273" s="72"/>
      <c r="AJ273" s="72"/>
      <c r="AK273" s="72"/>
      <c r="AL273" s="72"/>
    </row>
    <row r="274" spans="1:38">
      <c r="A274" s="65">
        <v>273</v>
      </c>
      <c r="B274" s="144">
        <v>2011</v>
      </c>
      <c r="C274" s="66" t="s">
        <v>135</v>
      </c>
      <c r="D274" s="67" t="s">
        <v>105</v>
      </c>
      <c r="E274" s="67" t="s">
        <v>15</v>
      </c>
      <c r="F274" s="67" t="s">
        <v>35</v>
      </c>
      <c r="G274" s="67" t="s">
        <v>46</v>
      </c>
      <c r="H274" s="68">
        <v>40612</v>
      </c>
      <c r="I274" s="68"/>
      <c r="K274" s="70">
        <v>1.5</v>
      </c>
      <c r="L274" s="72">
        <v>38</v>
      </c>
      <c r="M274" s="86" t="s">
        <v>195</v>
      </c>
      <c r="N274" s="71">
        <f>L274/4.68</f>
        <v>8.119658119658121</v>
      </c>
      <c r="O274" s="48" t="s">
        <v>5</v>
      </c>
      <c r="P274" s="72">
        <v>72.08</v>
      </c>
      <c r="Q274" s="72">
        <v>35.700000000000003</v>
      </c>
      <c r="R274" s="72" t="s">
        <v>60</v>
      </c>
      <c r="S274" s="72">
        <v>360.58</v>
      </c>
      <c r="T274" s="73">
        <v>5</v>
      </c>
      <c r="U274" s="72">
        <f>N274*1000*X274/100</f>
        <v>125.04273504273506</v>
      </c>
      <c r="V274" s="72">
        <f>S274*U274/1000</f>
        <v>45.087909401709403</v>
      </c>
      <c r="W274" s="72">
        <f>P274*U274/1000</f>
        <v>9.0130803418803431</v>
      </c>
      <c r="X274" s="72">
        <v>1.54</v>
      </c>
      <c r="Y274" s="72">
        <v>45.42266845703125</v>
      </c>
      <c r="Z274" s="73">
        <v>34.453334808349609</v>
      </c>
      <c r="AA274" s="73">
        <v>152.50666809082031</v>
      </c>
      <c r="AB274" s="73">
        <v>9.6266660690307617</v>
      </c>
      <c r="AC274" s="72"/>
      <c r="AD274" s="72">
        <f>$N274*1000*$X274*0.01*$S274*0.001</f>
        <v>45.087909401709403</v>
      </c>
      <c r="AE274" s="72">
        <f>$N274*1000*$X274*0.01*$P274*0.001</f>
        <v>9.0130803418803431</v>
      </c>
      <c r="AF274" s="72"/>
      <c r="AG274" s="72"/>
      <c r="AH274" s="74"/>
      <c r="AI274" s="72"/>
      <c r="AJ274" s="72"/>
      <c r="AK274" s="72"/>
      <c r="AL274" s="72"/>
    </row>
    <row r="275" spans="1:38">
      <c r="A275" s="65">
        <v>274</v>
      </c>
      <c r="B275" s="144">
        <v>2011</v>
      </c>
      <c r="C275" s="66" t="s">
        <v>135</v>
      </c>
      <c r="D275" s="67" t="s">
        <v>105</v>
      </c>
      <c r="E275" s="67" t="s">
        <v>23</v>
      </c>
      <c r="F275" s="67" t="s">
        <v>33</v>
      </c>
      <c r="G275" s="67" t="s">
        <v>34</v>
      </c>
      <c r="H275" s="68">
        <v>40652</v>
      </c>
      <c r="I275" s="68"/>
      <c r="J275" s="69">
        <v>1</v>
      </c>
      <c r="K275" s="70">
        <v>1.5</v>
      </c>
      <c r="L275" s="72">
        <v>52.62</v>
      </c>
      <c r="M275" s="74"/>
      <c r="N275" s="72">
        <v>35.08</v>
      </c>
      <c r="O275" s="48" t="s">
        <v>80</v>
      </c>
      <c r="P275" s="72"/>
      <c r="Q275" s="72"/>
      <c r="R275" s="72"/>
      <c r="S275" s="72"/>
      <c r="T275" s="72"/>
      <c r="U275" s="72"/>
      <c r="V275" s="72"/>
      <c r="W275" s="72"/>
      <c r="X275" s="72">
        <v>37</v>
      </c>
      <c r="Y275" s="72"/>
      <c r="Z275" s="72"/>
      <c r="AA275" s="72"/>
      <c r="AB275" s="72"/>
      <c r="AC275" s="72">
        <f>N275*X275</f>
        <v>1297.96</v>
      </c>
      <c r="AD275" s="72">
        <f>$AC275*0.4089</f>
        <v>530.73584400000004</v>
      </c>
      <c r="AE275" s="72">
        <f>$AC275*0.0263</f>
        <v>34.136347999999998</v>
      </c>
      <c r="AF275" s="72"/>
      <c r="AG275" s="72"/>
      <c r="AI275" s="72"/>
      <c r="AJ275" s="72"/>
      <c r="AK275" s="72"/>
      <c r="AL275" s="72"/>
    </row>
    <row r="276" spans="1:38">
      <c r="A276" s="65">
        <v>275</v>
      </c>
      <c r="B276" s="144">
        <v>2011</v>
      </c>
      <c r="C276" s="66" t="s">
        <v>135</v>
      </c>
      <c r="D276" s="67" t="s">
        <v>105</v>
      </c>
      <c r="E276" s="67" t="s">
        <v>15</v>
      </c>
      <c r="F276" s="67" t="s">
        <v>35</v>
      </c>
      <c r="G276" s="67" t="s">
        <v>46</v>
      </c>
      <c r="H276" s="68">
        <v>40661</v>
      </c>
      <c r="I276" s="68"/>
      <c r="K276" s="70">
        <v>1.5</v>
      </c>
      <c r="L276" s="72">
        <v>40.46</v>
      </c>
      <c r="M276" s="86" t="s">
        <v>195</v>
      </c>
      <c r="N276" s="71">
        <f>L276/4.68</f>
        <v>8.6452991452991466</v>
      </c>
      <c r="O276" s="48" t="s">
        <v>5</v>
      </c>
      <c r="P276" s="72">
        <v>63.07</v>
      </c>
      <c r="Q276" s="72">
        <v>26.7</v>
      </c>
      <c r="R276" s="72">
        <v>3.98</v>
      </c>
      <c r="S276" s="72">
        <v>383.71</v>
      </c>
      <c r="T276" s="73">
        <v>6.08</v>
      </c>
      <c r="U276" s="72">
        <f>N276*1000*X276/100</f>
        <v>152.15726495726497</v>
      </c>
      <c r="V276" s="72">
        <f>S276*U276/1000</f>
        <v>58.384264136752137</v>
      </c>
      <c r="W276" s="72">
        <f>P276*U276/1000</f>
        <v>9.5965587008547004</v>
      </c>
      <c r="X276" s="72">
        <v>1.76</v>
      </c>
      <c r="Y276" s="72">
        <v>34.896751403808594</v>
      </c>
      <c r="Z276" s="73">
        <v>33.716667175292969</v>
      </c>
      <c r="AA276" s="73">
        <v>75.52532958984375</v>
      </c>
      <c r="AB276" s="73">
        <v>6.7433333396911621</v>
      </c>
      <c r="AC276" s="72"/>
      <c r="AD276" s="72">
        <f>$N276*1000*$X276*0.01*$S276*0.001</f>
        <v>58.384264136752137</v>
      </c>
      <c r="AE276" s="72">
        <f>$N276*1000*$X276*0.01*$P276*0.001</f>
        <v>9.5965587008547004</v>
      </c>
      <c r="AF276" s="72"/>
      <c r="AG276" s="72"/>
      <c r="AH276" s="74"/>
      <c r="AI276" s="72"/>
      <c r="AJ276" s="72"/>
      <c r="AK276" s="72"/>
      <c r="AL276" s="72"/>
    </row>
    <row r="277" spans="1:38">
      <c r="A277" s="65">
        <v>276</v>
      </c>
      <c r="B277" s="144">
        <v>2011</v>
      </c>
      <c r="C277" s="66" t="s">
        <v>135</v>
      </c>
      <c r="D277" s="67" t="s">
        <v>105</v>
      </c>
      <c r="E277" s="67" t="s">
        <v>23</v>
      </c>
      <c r="F277" s="67" t="s">
        <v>27</v>
      </c>
      <c r="G277" s="67" t="s">
        <v>45</v>
      </c>
      <c r="H277" s="68">
        <v>40683</v>
      </c>
      <c r="I277" s="68">
        <v>40685</v>
      </c>
      <c r="K277" s="70">
        <v>1.5</v>
      </c>
      <c r="L277" s="71">
        <v>60</v>
      </c>
      <c r="M277" s="86" t="s">
        <v>195</v>
      </c>
      <c r="N277" s="71">
        <f>L277/4.9</f>
        <v>12.244897959183673</v>
      </c>
      <c r="O277" s="48" t="s">
        <v>64</v>
      </c>
      <c r="P277" s="72"/>
      <c r="Q277" s="72"/>
      <c r="R277" s="72"/>
      <c r="S277" s="72"/>
      <c r="T277" s="72"/>
      <c r="U277" s="72"/>
      <c r="V277" s="72"/>
      <c r="W277" s="72"/>
      <c r="X277" s="72"/>
      <c r="Y277" s="72"/>
      <c r="Z277" s="72"/>
      <c r="AA277" s="72"/>
      <c r="AB277" s="72"/>
      <c r="AC277" s="72">
        <f>N277*AG277*AF277</f>
        <v>36.734693877551017</v>
      </c>
      <c r="AD277" s="72">
        <f>$AC277*0.4089</f>
        <v>15.02081632653061</v>
      </c>
      <c r="AE277" s="72">
        <f>$AC277*0.0263</f>
        <v>0.96612244897959176</v>
      </c>
      <c r="AF277" s="72">
        <v>2</v>
      </c>
      <c r="AG277" s="72">
        <v>1.5</v>
      </c>
      <c r="AI277" s="72"/>
      <c r="AJ277" s="72"/>
      <c r="AK277" s="72"/>
      <c r="AL277" s="72"/>
    </row>
    <row r="278" spans="1:38">
      <c r="A278" s="65">
        <v>277</v>
      </c>
      <c r="B278" s="144">
        <v>2011</v>
      </c>
      <c r="C278" s="66" t="s">
        <v>135</v>
      </c>
      <c r="D278" s="67" t="s">
        <v>105</v>
      </c>
      <c r="E278" s="67" t="s">
        <v>23</v>
      </c>
      <c r="F278" s="67" t="s">
        <v>33</v>
      </c>
      <c r="G278" s="67" t="s">
        <v>34</v>
      </c>
      <c r="H278" s="68">
        <v>40709</v>
      </c>
      <c r="I278" s="68"/>
      <c r="J278" s="69">
        <v>2</v>
      </c>
      <c r="K278" s="70">
        <v>1.5</v>
      </c>
      <c r="L278" s="72">
        <v>32.14</v>
      </c>
      <c r="M278" s="74"/>
      <c r="N278" s="72">
        <v>21.426666666666666</v>
      </c>
      <c r="O278" s="48" t="s">
        <v>80</v>
      </c>
      <c r="P278" s="72"/>
      <c r="Q278" s="72"/>
      <c r="R278" s="72"/>
      <c r="S278" s="72"/>
      <c r="T278" s="72"/>
      <c r="U278" s="72"/>
      <c r="V278" s="72"/>
      <c r="W278" s="72"/>
      <c r="X278" s="72">
        <v>37</v>
      </c>
      <c r="Y278" s="72"/>
      <c r="Z278" s="72"/>
      <c r="AA278" s="72"/>
      <c r="AB278" s="72"/>
      <c r="AC278" s="72">
        <f>N278*X278</f>
        <v>792.78666666666663</v>
      </c>
      <c r="AD278" s="72">
        <f>$AC278*0.4089</f>
        <v>324.17046799999997</v>
      </c>
      <c r="AE278" s="72">
        <f>$AC278*0.0263</f>
        <v>20.850289333333333</v>
      </c>
      <c r="AF278" s="72"/>
      <c r="AG278" s="72"/>
      <c r="AI278" s="72"/>
      <c r="AJ278" s="72"/>
      <c r="AK278" s="72"/>
      <c r="AL278" s="72"/>
    </row>
    <row r="279" spans="1:38">
      <c r="A279" s="65">
        <v>278</v>
      </c>
      <c r="B279" s="144">
        <v>2011</v>
      </c>
      <c r="C279" s="66" t="s">
        <v>135</v>
      </c>
      <c r="D279" s="67" t="s">
        <v>105</v>
      </c>
      <c r="E279" s="67" t="s">
        <v>15</v>
      </c>
      <c r="F279" s="67" t="s">
        <v>35</v>
      </c>
      <c r="G279" s="67" t="s">
        <v>46</v>
      </c>
      <c r="H279" s="68">
        <v>40716</v>
      </c>
      <c r="I279" s="68"/>
      <c r="K279" s="70">
        <v>1.5</v>
      </c>
      <c r="L279" s="72">
        <v>32.909999999999997</v>
      </c>
      <c r="M279" s="86" t="s">
        <v>195</v>
      </c>
      <c r="N279" s="71">
        <f>L279/4.68</f>
        <v>7.0320512820512819</v>
      </c>
      <c r="O279" s="48" t="s">
        <v>5</v>
      </c>
      <c r="P279" s="72">
        <v>89.69</v>
      </c>
      <c r="Q279" s="72">
        <v>52.6</v>
      </c>
      <c r="R279" s="72" t="s">
        <v>60</v>
      </c>
      <c r="S279" s="72">
        <v>382.96</v>
      </c>
      <c r="T279" s="73">
        <v>4.2699999999999996</v>
      </c>
      <c r="U279" s="72">
        <f>N279*1000*X279/100</f>
        <v>136.42179487179487</v>
      </c>
      <c r="V279" s="72">
        <f>S279*U279/1000</f>
        <v>52.244090564102564</v>
      </c>
      <c r="W279" s="72">
        <f>P279*U279/1000</f>
        <v>12.235670782051281</v>
      </c>
      <c r="X279" s="72">
        <v>1.94</v>
      </c>
      <c r="Y279" s="72">
        <v>39.338420867919922</v>
      </c>
      <c r="Z279" s="73">
        <v>29.838399887084961</v>
      </c>
      <c r="AA279" s="73">
        <v>132.07879638671875</v>
      </c>
      <c r="AB279" s="73">
        <v>8.3372001647949219</v>
      </c>
      <c r="AC279" s="72"/>
      <c r="AD279" s="72">
        <f>$N279*1000*$X279*0.01*$S279*0.001</f>
        <v>52.244090564102564</v>
      </c>
      <c r="AE279" s="72">
        <f>$N279*1000*$X279*0.01*$P279*0.001</f>
        <v>12.235670782051283</v>
      </c>
      <c r="AF279" s="72"/>
      <c r="AG279" s="72"/>
      <c r="AH279" s="74"/>
      <c r="AI279" s="72"/>
      <c r="AJ279" s="72"/>
      <c r="AK279" s="72"/>
      <c r="AL279" s="72"/>
    </row>
    <row r="280" spans="1:38">
      <c r="A280" s="65">
        <v>279</v>
      </c>
      <c r="B280" s="144">
        <v>2011</v>
      </c>
      <c r="C280" s="66" t="s">
        <v>135</v>
      </c>
      <c r="D280" s="67" t="s">
        <v>105</v>
      </c>
      <c r="E280" s="67" t="s">
        <v>23</v>
      </c>
      <c r="F280" s="67" t="s">
        <v>33</v>
      </c>
      <c r="G280" s="67" t="s">
        <v>34</v>
      </c>
      <c r="H280" s="68">
        <v>40736</v>
      </c>
      <c r="I280" s="68"/>
      <c r="J280" s="69">
        <v>3</v>
      </c>
      <c r="K280" s="70">
        <v>1.5</v>
      </c>
      <c r="L280" s="72">
        <v>90</v>
      </c>
      <c r="M280" s="74"/>
      <c r="N280" s="72">
        <v>60</v>
      </c>
      <c r="O280" s="48" t="s">
        <v>80</v>
      </c>
      <c r="P280" s="72"/>
      <c r="Q280" s="72"/>
      <c r="R280" s="72"/>
      <c r="S280" s="72"/>
      <c r="T280" s="72"/>
      <c r="U280" s="72"/>
      <c r="V280" s="72"/>
      <c r="W280" s="72"/>
      <c r="X280" s="72">
        <v>37</v>
      </c>
      <c r="Y280" s="72"/>
      <c r="Z280" s="72"/>
      <c r="AA280" s="72"/>
      <c r="AB280" s="72"/>
      <c r="AC280" s="72">
        <f>N280*X280</f>
        <v>2220</v>
      </c>
      <c r="AD280" s="72">
        <f>$AC280*0.4089</f>
        <v>907.75799999999992</v>
      </c>
      <c r="AE280" s="72">
        <f>$AC280*0.0263</f>
        <v>58.386000000000003</v>
      </c>
      <c r="AF280" s="72"/>
      <c r="AG280" s="72"/>
      <c r="AI280" s="72"/>
      <c r="AJ280" s="72"/>
      <c r="AK280" s="72"/>
      <c r="AL280" s="72"/>
    </row>
    <row r="281" spans="1:38">
      <c r="A281" s="65">
        <v>280</v>
      </c>
      <c r="B281" s="144">
        <v>2011</v>
      </c>
      <c r="C281" s="66" t="s">
        <v>135</v>
      </c>
      <c r="D281" s="67" t="s">
        <v>105</v>
      </c>
      <c r="E281" s="67" t="s">
        <v>15</v>
      </c>
      <c r="F281" s="67" t="s">
        <v>35</v>
      </c>
      <c r="G281" s="67" t="s">
        <v>46</v>
      </c>
      <c r="H281" s="68">
        <v>40742</v>
      </c>
      <c r="I281" s="68"/>
      <c r="K281" s="70">
        <v>1.5</v>
      </c>
      <c r="L281" s="72">
        <v>40.89</v>
      </c>
      <c r="M281" s="86" t="s">
        <v>195</v>
      </c>
      <c r="N281" s="71">
        <f>L281/4.68</f>
        <v>8.7371794871794872</v>
      </c>
      <c r="O281" s="48" t="s">
        <v>5</v>
      </c>
      <c r="P281" s="72">
        <v>84.53</v>
      </c>
      <c r="Q281" s="72">
        <v>43.5</v>
      </c>
      <c r="R281" s="72" t="s">
        <v>60</v>
      </c>
      <c r="S281" s="72">
        <v>412.87</v>
      </c>
      <c r="T281" s="73">
        <v>4.88</v>
      </c>
      <c r="U281" s="72">
        <f>N281*1000*X281/100</f>
        <v>242.8935897435897</v>
      </c>
      <c r="V281" s="72">
        <f>S281*U281/1000</f>
        <v>100.28347639743588</v>
      </c>
      <c r="W281" s="72">
        <f>P281*U281/1000</f>
        <v>20.53179514102564</v>
      </c>
      <c r="X281" s="72">
        <v>2.78</v>
      </c>
      <c r="Y281" s="72">
        <v>48.877182006835938</v>
      </c>
      <c r="Z281" s="73">
        <v>37.073600769042969</v>
      </c>
      <c r="AA281" s="73">
        <v>164.10520935058594</v>
      </c>
      <c r="AB281" s="73">
        <v>10.358799934387207</v>
      </c>
      <c r="AC281" s="72"/>
      <c r="AD281" s="72">
        <f>$N281*1000*$X281*0.01*$S281*0.001</f>
        <v>100.28347639743588</v>
      </c>
      <c r="AE281" s="72">
        <f>$N281*1000*$X281*0.01*$P281*0.001</f>
        <v>20.53179514102564</v>
      </c>
      <c r="AF281" s="72"/>
      <c r="AG281" s="72"/>
      <c r="AH281" s="74"/>
      <c r="AI281" s="72"/>
      <c r="AJ281" s="72"/>
      <c r="AK281" s="72"/>
      <c r="AL281" s="72"/>
    </row>
    <row r="282" spans="1:38">
      <c r="A282" s="65">
        <v>281</v>
      </c>
      <c r="B282" s="144">
        <v>2011</v>
      </c>
      <c r="C282" s="66" t="s">
        <v>135</v>
      </c>
      <c r="D282" s="67" t="s">
        <v>105</v>
      </c>
      <c r="E282" s="67" t="s">
        <v>23</v>
      </c>
      <c r="F282" s="67" t="s">
        <v>33</v>
      </c>
      <c r="G282" s="78" t="s">
        <v>41</v>
      </c>
      <c r="H282" s="68">
        <v>40779</v>
      </c>
      <c r="I282" s="68"/>
      <c r="J282" s="69">
        <v>4</v>
      </c>
      <c r="K282" s="70">
        <v>1.5</v>
      </c>
      <c r="L282" s="72">
        <v>23.34</v>
      </c>
      <c r="M282" s="74"/>
      <c r="N282" s="72">
        <v>15.56</v>
      </c>
      <c r="O282" s="48" t="s">
        <v>80</v>
      </c>
      <c r="P282" s="72"/>
      <c r="Q282" s="72"/>
      <c r="R282" s="72"/>
      <c r="S282" s="72"/>
      <c r="T282" s="72"/>
      <c r="U282" s="72"/>
      <c r="V282" s="72"/>
      <c r="W282" s="72"/>
      <c r="X282" s="72">
        <v>70</v>
      </c>
      <c r="Y282" s="72"/>
      <c r="Z282" s="72"/>
      <c r="AA282" s="72"/>
      <c r="AB282" s="72"/>
      <c r="AC282" s="72">
        <f>N282*X282</f>
        <v>1089.2</v>
      </c>
      <c r="AD282" s="72">
        <f>$AC282*0.4089</f>
        <v>445.37387999999999</v>
      </c>
      <c r="AE282" s="72">
        <f>$AC282*0.0263</f>
        <v>28.645960000000002</v>
      </c>
      <c r="AF282" s="72"/>
      <c r="AG282" s="72"/>
      <c r="AI282" s="72"/>
      <c r="AJ282" s="72"/>
      <c r="AK282" s="72"/>
      <c r="AL282" s="72"/>
    </row>
    <row r="283" spans="1:38">
      <c r="A283" s="65">
        <v>282</v>
      </c>
      <c r="B283" s="144">
        <v>2011</v>
      </c>
      <c r="C283" s="66" t="s">
        <v>135</v>
      </c>
      <c r="D283" s="67" t="s">
        <v>105</v>
      </c>
      <c r="E283" s="67" t="s">
        <v>15</v>
      </c>
      <c r="F283" s="67" t="s">
        <v>35</v>
      </c>
      <c r="G283" s="67" t="s">
        <v>46</v>
      </c>
      <c r="H283" s="68">
        <v>40784</v>
      </c>
      <c r="I283" s="68"/>
      <c r="K283" s="70">
        <v>1.5</v>
      </c>
      <c r="L283" s="72">
        <v>45</v>
      </c>
      <c r="M283" s="86" t="s">
        <v>195</v>
      </c>
      <c r="N283" s="71">
        <f>L283/4.68</f>
        <v>9.6153846153846168</v>
      </c>
      <c r="O283" s="48" t="s">
        <v>5</v>
      </c>
      <c r="P283" s="72">
        <v>90.66</v>
      </c>
      <c r="Q283" s="72">
        <v>56.6</v>
      </c>
      <c r="R283" s="72" t="s">
        <v>60</v>
      </c>
      <c r="S283" s="72">
        <v>356.29</v>
      </c>
      <c r="T283" s="73">
        <v>3.93</v>
      </c>
      <c r="U283" s="72">
        <f>N283*1000*X283/100</f>
        <v>175.00000000000003</v>
      </c>
      <c r="V283" s="72">
        <f>S283*U283/1000</f>
        <v>62.350750000000012</v>
      </c>
      <c r="W283" s="72">
        <f>P283*U283/1000</f>
        <v>15.865500000000003</v>
      </c>
      <c r="X283" s="72">
        <v>1.82</v>
      </c>
      <c r="Y283" s="72">
        <v>53.789997100830078</v>
      </c>
      <c r="Z283" s="73">
        <v>40.799999237060547</v>
      </c>
      <c r="AA283" s="73">
        <v>180.59999084472656</v>
      </c>
      <c r="AB283" s="73">
        <v>11.40000057220459</v>
      </c>
      <c r="AC283" s="72"/>
      <c r="AD283" s="72">
        <f>$N283*1000*$X283*0.01*$S283*0.001</f>
        <v>62.350750000000019</v>
      </c>
      <c r="AE283" s="72">
        <f>$N283*1000*$X283*0.01*$P283*0.001</f>
        <v>15.865500000000003</v>
      </c>
      <c r="AF283" s="72"/>
      <c r="AG283" s="72"/>
      <c r="AH283" s="74"/>
      <c r="AI283" s="72"/>
      <c r="AJ283" s="72"/>
      <c r="AK283" s="72"/>
      <c r="AL283" s="72"/>
    </row>
    <row r="284" spans="1:38">
      <c r="A284" s="65">
        <v>283</v>
      </c>
      <c r="B284" s="144">
        <v>2011</v>
      </c>
      <c r="C284" s="66" t="s">
        <v>135</v>
      </c>
      <c r="D284" s="67" t="s">
        <v>105</v>
      </c>
      <c r="E284" s="67" t="s">
        <v>23</v>
      </c>
      <c r="F284" s="67" t="s">
        <v>33</v>
      </c>
      <c r="G284" s="67" t="s">
        <v>34</v>
      </c>
      <c r="H284" s="68">
        <v>40814</v>
      </c>
      <c r="I284" s="68"/>
      <c r="J284" s="69">
        <v>5</v>
      </c>
      <c r="K284" s="70">
        <v>1.5</v>
      </c>
      <c r="L284" s="72">
        <v>25.74</v>
      </c>
      <c r="M284" s="74"/>
      <c r="N284" s="72">
        <v>17.16</v>
      </c>
      <c r="O284" s="48" t="s">
        <v>80</v>
      </c>
      <c r="P284" s="72"/>
      <c r="Q284" s="72"/>
      <c r="R284" s="72"/>
      <c r="S284" s="72"/>
      <c r="T284" s="72"/>
      <c r="U284" s="72"/>
      <c r="V284" s="72"/>
      <c r="W284" s="72"/>
      <c r="X284" s="72">
        <v>37</v>
      </c>
      <c r="Y284" s="72"/>
      <c r="Z284" s="72"/>
      <c r="AA284" s="72"/>
      <c r="AB284" s="72"/>
      <c r="AC284" s="72">
        <f>N284*X284</f>
        <v>634.91999999999996</v>
      </c>
      <c r="AD284" s="72">
        <f>$AC284*0.4089</f>
        <v>259.618788</v>
      </c>
      <c r="AE284" s="72">
        <f>$AC284*0.0263</f>
        <v>16.698395999999999</v>
      </c>
      <c r="AF284" s="72"/>
      <c r="AG284" s="72"/>
      <c r="AI284" s="72"/>
      <c r="AJ284" s="72"/>
      <c r="AK284" s="72"/>
      <c r="AL284" s="72"/>
    </row>
    <row r="285" spans="1:38">
      <c r="A285" s="65">
        <v>284</v>
      </c>
      <c r="B285" s="144">
        <v>2011</v>
      </c>
      <c r="C285" s="66" t="s">
        <v>135</v>
      </c>
      <c r="D285" s="67" t="s">
        <v>105</v>
      </c>
      <c r="E285" s="67" t="s">
        <v>15</v>
      </c>
      <c r="F285" s="67" t="s">
        <v>35</v>
      </c>
      <c r="G285" s="75" t="s">
        <v>46</v>
      </c>
      <c r="H285" s="68">
        <v>40829</v>
      </c>
      <c r="I285" s="68"/>
      <c r="K285" s="70">
        <v>1.5</v>
      </c>
      <c r="L285" s="72">
        <v>59.13</v>
      </c>
      <c r="M285" s="86" t="s">
        <v>195</v>
      </c>
      <c r="N285" s="71">
        <f>L285/4.68</f>
        <v>12.634615384615387</v>
      </c>
      <c r="O285" s="48" t="s">
        <v>5</v>
      </c>
      <c r="P285" s="72">
        <v>74.709999999999994</v>
      </c>
      <c r="Q285" s="72">
        <v>40</v>
      </c>
      <c r="R285" s="72" t="s">
        <v>60</v>
      </c>
      <c r="S285" s="72">
        <v>386.96</v>
      </c>
      <c r="T285" s="73">
        <v>5.18</v>
      </c>
      <c r="U285" s="72">
        <f>N285*1000*X285/100</f>
        <v>189.51923076923077</v>
      </c>
      <c r="V285" s="72">
        <f>S285*U285/1000</f>
        <v>73.336361538461546</v>
      </c>
      <c r="W285" s="72">
        <f>P285*U285/1000</f>
        <v>14.158981730769231</v>
      </c>
      <c r="X285" s="72">
        <v>1.5</v>
      </c>
      <c r="Y285" s="72">
        <v>70.680061340332031</v>
      </c>
      <c r="Z285" s="73">
        <v>53.611202239990234</v>
      </c>
      <c r="AA285" s="73">
        <v>237.30839538574219</v>
      </c>
      <c r="AB285" s="73">
        <v>14.979599952697754</v>
      </c>
      <c r="AC285" s="72"/>
      <c r="AD285" s="72">
        <f>$N285*1000*$X285*0.01*$S285*0.001</f>
        <v>73.336361538461546</v>
      </c>
      <c r="AE285" s="72">
        <f>$N285*1000*$X285*0.01*$P285*0.001</f>
        <v>14.158981730769231</v>
      </c>
      <c r="AF285" s="72"/>
      <c r="AG285" s="72"/>
      <c r="AH285" s="74"/>
      <c r="AI285" s="72"/>
      <c r="AJ285" s="72"/>
      <c r="AK285" s="72"/>
      <c r="AL285" s="72"/>
    </row>
    <row r="286" spans="1:38">
      <c r="A286" s="65">
        <v>285</v>
      </c>
      <c r="B286" s="144">
        <v>2011</v>
      </c>
      <c r="C286" s="66" t="s">
        <v>135</v>
      </c>
      <c r="D286" s="67" t="s">
        <v>105</v>
      </c>
      <c r="E286" s="67" t="s">
        <v>23</v>
      </c>
      <c r="F286" s="67" t="s">
        <v>27</v>
      </c>
      <c r="G286" s="67" t="s">
        <v>45</v>
      </c>
      <c r="H286" s="68">
        <v>40894</v>
      </c>
      <c r="I286" s="68">
        <v>40908</v>
      </c>
      <c r="K286" s="70">
        <v>1.5</v>
      </c>
      <c r="L286" s="71">
        <v>50</v>
      </c>
      <c r="M286" s="86" t="s">
        <v>195</v>
      </c>
      <c r="N286" s="71">
        <f>L286/4.9</f>
        <v>10.204081632653061</v>
      </c>
      <c r="O286" s="48" t="s">
        <v>64</v>
      </c>
      <c r="P286" s="72"/>
      <c r="Q286" s="72"/>
      <c r="R286" s="72"/>
      <c r="S286" s="72"/>
      <c r="T286" s="72"/>
      <c r="U286" s="72"/>
      <c r="V286" s="72"/>
      <c r="W286" s="72"/>
      <c r="X286" s="72"/>
      <c r="Y286" s="72"/>
      <c r="Z286" s="72"/>
      <c r="AA286" s="72"/>
      <c r="AB286" s="72"/>
      <c r="AC286" s="72">
        <f>N286*AG286*AF286</f>
        <v>214.28571428571428</v>
      </c>
      <c r="AD286" s="72">
        <f>$AC286*0.4089</f>
        <v>87.621428571428567</v>
      </c>
      <c r="AE286" s="72">
        <f>$AC286*0.0263</f>
        <v>5.6357142857142852</v>
      </c>
      <c r="AF286" s="72">
        <v>14</v>
      </c>
      <c r="AG286" s="72">
        <v>1.5</v>
      </c>
      <c r="AI286" s="72"/>
      <c r="AJ286" s="72"/>
      <c r="AK286" s="72"/>
      <c r="AL286" s="72"/>
    </row>
    <row r="287" spans="1:38">
      <c r="A287" s="65">
        <v>286</v>
      </c>
      <c r="B287" s="144">
        <v>2011</v>
      </c>
      <c r="C287" s="79" t="s">
        <v>136</v>
      </c>
      <c r="D287" s="67" t="s">
        <v>105</v>
      </c>
      <c r="E287" s="67" t="s">
        <v>15</v>
      </c>
      <c r="F287" s="67" t="s">
        <v>35</v>
      </c>
      <c r="G287" s="67" t="s">
        <v>46</v>
      </c>
      <c r="H287" s="68">
        <v>40612</v>
      </c>
      <c r="I287" s="68"/>
      <c r="K287" s="70">
        <v>3.4</v>
      </c>
      <c r="L287" s="72">
        <v>82.02</v>
      </c>
      <c r="M287" s="72"/>
      <c r="N287" s="72">
        <v>24.704819773862798</v>
      </c>
      <c r="O287" s="48" t="s">
        <v>5</v>
      </c>
      <c r="P287" s="72">
        <v>70.97</v>
      </c>
      <c r="Q287" s="72">
        <v>33.5</v>
      </c>
      <c r="R287" s="76" t="s">
        <v>60</v>
      </c>
      <c r="S287" s="72">
        <v>365.04</v>
      </c>
      <c r="T287" s="73">
        <v>5.14</v>
      </c>
      <c r="U287" s="72">
        <f>N287*1000*X287/100</f>
        <v>382.92470649487336</v>
      </c>
      <c r="V287" s="72">
        <f>S287*U287/1000</f>
        <v>139.78283485888858</v>
      </c>
      <c r="W287" s="72">
        <f>P287*U287/1000</f>
        <v>27.176166419941161</v>
      </c>
      <c r="X287" s="72">
        <v>1.55</v>
      </c>
      <c r="Y287" s="72">
        <v>44.295742034912109</v>
      </c>
      <c r="Z287" s="73">
        <v>33.598556518554688</v>
      </c>
      <c r="AA287" s="73">
        <v>148.7230224609375</v>
      </c>
      <c r="AB287" s="73">
        <v>9.3878316879272461</v>
      </c>
      <c r="AC287" s="72"/>
      <c r="AD287" s="72">
        <f>$N287*1000*$X287*0.01*$S287*0.001</f>
        <v>139.78283485888861</v>
      </c>
      <c r="AE287" s="72">
        <f>$N287*1000*$X287*0.01*$P287*0.001</f>
        <v>27.176166419941165</v>
      </c>
      <c r="AF287" s="72"/>
      <c r="AG287" s="72"/>
      <c r="AH287" s="74"/>
      <c r="AI287" s="72"/>
      <c r="AJ287" s="72"/>
      <c r="AK287" s="72"/>
      <c r="AL287" s="72"/>
    </row>
    <row r="288" spans="1:38">
      <c r="A288" s="65">
        <v>287</v>
      </c>
      <c r="B288" s="144">
        <v>2011</v>
      </c>
      <c r="C288" s="79" t="s">
        <v>136</v>
      </c>
      <c r="D288" s="67" t="s">
        <v>105</v>
      </c>
      <c r="E288" s="67" t="s">
        <v>23</v>
      </c>
      <c r="F288" s="67" t="s">
        <v>33</v>
      </c>
      <c r="G288" s="67" t="s">
        <v>34</v>
      </c>
      <c r="H288" s="68">
        <v>40652</v>
      </c>
      <c r="I288" s="68"/>
      <c r="J288" s="69">
        <v>1</v>
      </c>
      <c r="K288" s="70">
        <v>3.4</v>
      </c>
      <c r="L288" s="72">
        <v>116.46999999999998</v>
      </c>
      <c r="M288" s="72"/>
      <c r="N288" s="72">
        <v>35.081326006605771</v>
      </c>
      <c r="O288" s="48" t="s">
        <v>80</v>
      </c>
      <c r="P288" s="72"/>
      <c r="Q288" s="72"/>
      <c r="R288" s="72"/>
      <c r="S288" s="72"/>
      <c r="T288" s="72"/>
      <c r="U288" s="72"/>
      <c r="V288" s="72"/>
      <c r="W288" s="72"/>
      <c r="X288" s="72">
        <v>37</v>
      </c>
      <c r="Y288" s="72"/>
      <c r="Z288" s="72"/>
      <c r="AA288" s="72"/>
      <c r="AB288" s="72"/>
      <c r="AC288" s="72">
        <f>N288*X288</f>
        <v>1298.0090622444136</v>
      </c>
      <c r="AD288" s="72">
        <f>$AC288*0.4089</f>
        <v>530.75590555174074</v>
      </c>
      <c r="AE288" s="72">
        <f>$AC288*0.0263</f>
        <v>34.137638337028079</v>
      </c>
      <c r="AF288" s="72"/>
      <c r="AG288" s="72"/>
      <c r="AI288" s="72"/>
      <c r="AJ288" s="72"/>
      <c r="AK288" s="72"/>
      <c r="AL288" s="72"/>
    </row>
    <row r="289" spans="1:38">
      <c r="A289" s="65">
        <v>288</v>
      </c>
      <c r="B289" s="144">
        <v>2011</v>
      </c>
      <c r="C289" s="79" t="s">
        <v>136</v>
      </c>
      <c r="D289" s="67" t="s">
        <v>105</v>
      </c>
      <c r="E289" s="67" t="s">
        <v>15</v>
      </c>
      <c r="F289" s="67" t="s">
        <v>35</v>
      </c>
      <c r="G289" s="67" t="s">
        <v>46</v>
      </c>
      <c r="H289" s="68">
        <v>40661</v>
      </c>
      <c r="I289" s="68"/>
      <c r="K289" s="70">
        <v>3.4</v>
      </c>
      <c r="L289" s="72">
        <v>89.54</v>
      </c>
      <c r="M289" s="72"/>
      <c r="N289" s="72">
        <v>26.969880060371608</v>
      </c>
      <c r="O289" s="48" t="s">
        <v>5</v>
      </c>
      <c r="P289" s="72">
        <v>61.11</v>
      </c>
      <c r="Q289" s="72">
        <v>25.6</v>
      </c>
      <c r="R289" s="76" t="s">
        <v>60</v>
      </c>
      <c r="S289" s="72">
        <v>386.49</v>
      </c>
      <c r="T289" s="73">
        <v>6.32</v>
      </c>
      <c r="U289" s="72">
        <f>N289*1000*X289/100</f>
        <v>485.45784108668892</v>
      </c>
      <c r="V289" s="72">
        <f>S289*U289/1000</f>
        <v>187.62460100159439</v>
      </c>
      <c r="W289" s="72">
        <f>P289*U289/1000</f>
        <v>29.666328668807559</v>
      </c>
      <c r="X289" s="72">
        <v>1.8</v>
      </c>
      <c r="Y289" s="72">
        <v>34.892284393310547</v>
      </c>
      <c r="Z289" s="73">
        <v>33.712352752685547</v>
      </c>
      <c r="AA289" s="73">
        <v>75.515663146972656</v>
      </c>
      <c r="AB289" s="73">
        <v>6.7424702644348145</v>
      </c>
      <c r="AC289" s="72"/>
      <c r="AD289" s="72">
        <f>$N289*1000*$X289*0.01*$S289*0.001</f>
        <v>187.62460100159439</v>
      </c>
      <c r="AE289" s="72">
        <f>$N289*1000*$X289*0.01*$P289*0.001</f>
        <v>29.666328668807562</v>
      </c>
      <c r="AF289" s="72"/>
      <c r="AG289" s="72"/>
      <c r="AH289" s="74"/>
      <c r="AI289" s="72"/>
      <c r="AJ289" s="72"/>
      <c r="AK289" s="72"/>
      <c r="AL289" s="72"/>
    </row>
    <row r="290" spans="1:38">
      <c r="A290" s="65">
        <v>289</v>
      </c>
      <c r="B290" s="144">
        <v>2011</v>
      </c>
      <c r="C290" s="79" t="s">
        <v>136</v>
      </c>
      <c r="D290" s="67" t="s">
        <v>105</v>
      </c>
      <c r="E290" s="67" t="s">
        <v>23</v>
      </c>
      <c r="F290" s="67" t="s">
        <v>27</v>
      </c>
      <c r="G290" s="67" t="s">
        <v>45</v>
      </c>
      <c r="H290" s="68">
        <v>40683</v>
      </c>
      <c r="I290" s="68">
        <v>40685</v>
      </c>
      <c r="K290" s="70">
        <v>3.4</v>
      </c>
      <c r="L290" s="71">
        <v>60</v>
      </c>
      <c r="M290" s="71"/>
      <c r="N290" s="71">
        <f>L290/4.9</f>
        <v>12.244897959183673</v>
      </c>
      <c r="O290" s="48" t="s">
        <v>64</v>
      </c>
      <c r="P290" s="72"/>
      <c r="Q290" s="72"/>
      <c r="R290" s="72"/>
      <c r="S290" s="72"/>
      <c r="T290" s="72"/>
      <c r="U290" s="72"/>
      <c r="V290" s="72"/>
      <c r="W290" s="72"/>
      <c r="X290" s="72"/>
      <c r="Y290" s="72"/>
      <c r="Z290" s="72"/>
      <c r="AA290" s="72"/>
      <c r="AB290" s="72"/>
      <c r="AC290" s="72">
        <f>N290*AG290*AF290</f>
        <v>36.734693877551017</v>
      </c>
      <c r="AD290" s="72">
        <f>$AC290*0.4089</f>
        <v>15.02081632653061</v>
      </c>
      <c r="AE290" s="72">
        <f>$AC290*0.0263</f>
        <v>0.96612244897959176</v>
      </c>
      <c r="AF290" s="72">
        <v>2</v>
      </c>
      <c r="AG290" s="72">
        <v>1.5</v>
      </c>
      <c r="AI290" s="72"/>
      <c r="AJ290" s="72"/>
      <c r="AK290" s="72"/>
      <c r="AL290" s="72"/>
    </row>
    <row r="291" spans="1:38">
      <c r="A291" s="65">
        <v>290</v>
      </c>
      <c r="B291" s="144">
        <v>2011</v>
      </c>
      <c r="C291" s="79" t="s">
        <v>136</v>
      </c>
      <c r="D291" s="67" t="s">
        <v>105</v>
      </c>
      <c r="E291" s="67" t="s">
        <v>23</v>
      </c>
      <c r="F291" s="67" t="s">
        <v>33</v>
      </c>
      <c r="G291" s="67" t="s">
        <v>34</v>
      </c>
      <c r="H291" s="68">
        <v>40709</v>
      </c>
      <c r="I291" s="68"/>
      <c r="J291" s="69">
        <v>2</v>
      </c>
      <c r="K291" s="70">
        <v>3.4</v>
      </c>
      <c r="L291" s="72">
        <v>71.14</v>
      </c>
      <c r="M291" s="72"/>
      <c r="N291" s="72">
        <v>21.42771127423315</v>
      </c>
      <c r="O291" s="48" t="s">
        <v>80</v>
      </c>
      <c r="P291" s="72"/>
      <c r="Q291" s="72"/>
      <c r="R291" s="72"/>
      <c r="S291" s="72"/>
      <c r="T291" s="72"/>
      <c r="U291" s="72"/>
      <c r="V291" s="72"/>
      <c r="W291" s="72"/>
      <c r="X291" s="72">
        <v>37</v>
      </c>
      <c r="Y291" s="72"/>
      <c r="Z291" s="72"/>
      <c r="AA291" s="72"/>
      <c r="AB291" s="72"/>
      <c r="AC291" s="72">
        <f>N291*X291</f>
        <v>792.82531714662662</v>
      </c>
      <c r="AD291" s="72">
        <f>$AC291*0.4089</f>
        <v>324.18627218125562</v>
      </c>
      <c r="AE291" s="72">
        <f>$AC291*0.0263</f>
        <v>20.851305840956279</v>
      </c>
      <c r="AF291" s="72"/>
      <c r="AG291" s="72"/>
      <c r="AI291" s="72"/>
      <c r="AJ291" s="72"/>
      <c r="AK291" s="72"/>
      <c r="AL291" s="72"/>
    </row>
    <row r="292" spans="1:38">
      <c r="A292" s="65">
        <v>291</v>
      </c>
      <c r="B292" s="144">
        <v>2011</v>
      </c>
      <c r="C292" s="79" t="s">
        <v>136</v>
      </c>
      <c r="D292" s="67" t="s">
        <v>105</v>
      </c>
      <c r="E292" s="67" t="s">
        <v>15</v>
      </c>
      <c r="F292" s="67" t="s">
        <v>35</v>
      </c>
      <c r="G292" s="67" t="s">
        <v>46</v>
      </c>
      <c r="H292" s="68">
        <v>40716</v>
      </c>
      <c r="I292" s="68"/>
      <c r="K292" s="70">
        <v>3.4</v>
      </c>
      <c r="L292" s="72">
        <v>72.83</v>
      </c>
      <c r="M292" s="72"/>
      <c r="N292" s="72">
        <v>21.936747429046953</v>
      </c>
      <c r="O292" s="48" t="s">
        <v>5</v>
      </c>
      <c r="P292" s="72">
        <v>50.49</v>
      </c>
      <c r="Q292" s="72">
        <v>32.5</v>
      </c>
      <c r="R292" s="76" t="s">
        <v>60</v>
      </c>
      <c r="S292" s="72">
        <v>436.64</v>
      </c>
      <c r="T292" s="73">
        <v>8.65</v>
      </c>
      <c r="U292" s="72">
        <f>N292*1000*X292/100</f>
        <v>669.07079658593216</v>
      </c>
      <c r="V292" s="72">
        <f>S292*U292/1000</f>
        <v>292.14307262128142</v>
      </c>
      <c r="W292" s="72">
        <f>P292*U292/1000</f>
        <v>33.781384519623714</v>
      </c>
      <c r="X292" s="72">
        <v>3.05</v>
      </c>
      <c r="Y292" s="72">
        <v>39.332584381103516</v>
      </c>
      <c r="Z292" s="73">
        <v>29.833974838256836</v>
      </c>
      <c r="AA292" s="73">
        <v>132.05921936035156</v>
      </c>
      <c r="AB292" s="73">
        <v>8.3359642028808594</v>
      </c>
      <c r="AC292" s="72"/>
      <c r="AD292" s="72">
        <f>$N292*1000*$X292*0.01*$S292*0.001</f>
        <v>292.14307262128142</v>
      </c>
      <c r="AE292" s="72">
        <f>$N292*1000*$X292*0.01*$P292*0.001</f>
        <v>33.781384519623714</v>
      </c>
      <c r="AF292" s="72"/>
      <c r="AG292" s="72"/>
      <c r="AH292" s="74"/>
      <c r="AI292" s="72"/>
      <c r="AJ292" s="72"/>
      <c r="AK292" s="72"/>
      <c r="AL292" s="72"/>
    </row>
    <row r="293" spans="1:38">
      <c r="A293" s="65">
        <v>292</v>
      </c>
      <c r="B293" s="144">
        <v>2011</v>
      </c>
      <c r="C293" s="79" t="s">
        <v>136</v>
      </c>
      <c r="D293" s="67" t="s">
        <v>105</v>
      </c>
      <c r="E293" s="67" t="s">
        <v>23</v>
      </c>
      <c r="F293" s="67" t="s">
        <v>33</v>
      </c>
      <c r="G293" s="67" t="s">
        <v>34</v>
      </c>
      <c r="H293" s="68">
        <v>40736</v>
      </c>
      <c r="I293" s="68"/>
      <c r="J293" s="69">
        <v>3</v>
      </c>
      <c r="K293" s="70">
        <v>3.4</v>
      </c>
      <c r="L293" s="72">
        <v>63.569999999999993</v>
      </c>
      <c r="M293" s="72"/>
      <c r="N293" s="72">
        <v>19.147590746457706</v>
      </c>
      <c r="O293" s="48" t="s">
        <v>80</v>
      </c>
      <c r="P293" s="72"/>
      <c r="Q293" s="72"/>
      <c r="R293" s="72"/>
      <c r="S293" s="72"/>
      <c r="T293" s="72"/>
      <c r="U293" s="72"/>
      <c r="V293" s="72"/>
      <c r="W293" s="72"/>
      <c r="X293" s="72">
        <v>37</v>
      </c>
      <c r="Y293" s="72"/>
      <c r="Z293" s="72"/>
      <c r="AA293" s="72"/>
      <c r="AB293" s="72"/>
      <c r="AC293" s="72">
        <f>N293*X293</f>
        <v>708.46085761893505</v>
      </c>
      <c r="AD293" s="72">
        <f>$AC293*0.4089</f>
        <v>289.68964468038251</v>
      </c>
      <c r="AE293" s="72">
        <f>$AC293*0.0263</f>
        <v>18.632520555377994</v>
      </c>
      <c r="AF293" s="72"/>
      <c r="AG293" s="72"/>
      <c r="AI293" s="72"/>
      <c r="AJ293" s="72"/>
      <c r="AK293" s="72"/>
      <c r="AL293" s="72"/>
    </row>
    <row r="294" spans="1:38">
      <c r="A294" s="65">
        <v>293</v>
      </c>
      <c r="B294" s="144">
        <v>2011</v>
      </c>
      <c r="C294" s="79" t="s">
        <v>136</v>
      </c>
      <c r="D294" s="67" t="s">
        <v>105</v>
      </c>
      <c r="E294" s="67" t="s">
        <v>15</v>
      </c>
      <c r="F294" s="67" t="s">
        <v>35</v>
      </c>
      <c r="G294" s="67" t="s">
        <v>46</v>
      </c>
      <c r="H294" s="68">
        <v>40742</v>
      </c>
      <c r="I294" s="68"/>
      <c r="K294" s="70">
        <v>3.4</v>
      </c>
      <c r="L294" s="72">
        <v>90.5</v>
      </c>
      <c r="M294" s="72"/>
      <c r="N294" s="72">
        <v>27.259036692691875</v>
      </c>
      <c r="O294" s="48" t="s">
        <v>5</v>
      </c>
      <c r="P294" s="72">
        <v>106.82</v>
      </c>
      <c r="Q294" s="72">
        <v>59.1</v>
      </c>
      <c r="R294" s="76" t="s">
        <v>60</v>
      </c>
      <c r="S294" s="72">
        <v>375.54</v>
      </c>
      <c r="T294" s="73">
        <v>3.52</v>
      </c>
      <c r="U294" s="72">
        <f>N294*1000*X294/100</f>
        <v>479.75904579137699</v>
      </c>
      <c r="V294" s="72">
        <f>S294*U294/1000</f>
        <v>180.16871205649375</v>
      </c>
      <c r="W294" s="72">
        <f>P294*U294/1000</f>
        <v>51.247861271434886</v>
      </c>
      <c r="X294" s="72">
        <v>1.76</v>
      </c>
      <c r="Y294" s="72">
        <v>48.875450134277344</v>
      </c>
      <c r="Z294" s="73">
        <v>37.072292327880859</v>
      </c>
      <c r="AA294" s="73">
        <v>164.09939575195313</v>
      </c>
      <c r="AB294" s="73">
        <v>10.358433723449707</v>
      </c>
      <c r="AC294" s="72"/>
      <c r="AD294" s="72">
        <f>$N294*1000*$X294*0.01*$S294*0.001</f>
        <v>180.16871205649375</v>
      </c>
      <c r="AE294" s="72">
        <f>$N294*1000*$X294*0.01*$P294*0.001</f>
        <v>51.247861271434886</v>
      </c>
      <c r="AF294" s="72"/>
      <c r="AG294" s="72"/>
      <c r="AH294" s="74"/>
      <c r="AI294" s="72"/>
      <c r="AJ294" s="72"/>
      <c r="AK294" s="72"/>
      <c r="AL294" s="72"/>
    </row>
    <row r="295" spans="1:38">
      <c r="A295" s="65">
        <v>294</v>
      </c>
      <c r="B295" s="144">
        <v>2011</v>
      </c>
      <c r="C295" s="79" t="s">
        <v>136</v>
      </c>
      <c r="D295" s="67" t="s">
        <v>105</v>
      </c>
      <c r="E295" s="67" t="s">
        <v>23</v>
      </c>
      <c r="F295" s="67" t="s">
        <v>33</v>
      </c>
      <c r="G295" s="78" t="s">
        <v>41</v>
      </c>
      <c r="H295" s="68">
        <v>40779</v>
      </c>
      <c r="I295" s="68"/>
      <c r="J295" s="69">
        <v>4</v>
      </c>
      <c r="K295" s="70">
        <v>3.4</v>
      </c>
      <c r="L295" s="72">
        <v>51.66</v>
      </c>
      <c r="M295" s="72"/>
      <c r="N295" s="72">
        <v>15.560241276734386</v>
      </c>
      <c r="O295" s="48" t="s">
        <v>80</v>
      </c>
      <c r="P295" s="72"/>
      <c r="Q295" s="72"/>
      <c r="R295" s="72"/>
      <c r="S295" s="72"/>
      <c r="T295" s="72"/>
      <c r="U295" s="72"/>
      <c r="V295" s="72"/>
      <c r="W295" s="72"/>
      <c r="X295" s="72">
        <v>70</v>
      </c>
      <c r="Y295" s="72"/>
      <c r="Z295" s="72"/>
      <c r="AA295" s="72"/>
      <c r="AB295" s="72"/>
      <c r="AC295" s="72">
        <f>N295*X295</f>
        <v>1089.216889371407</v>
      </c>
      <c r="AD295" s="72">
        <f>$AC295*0.4089</f>
        <v>445.38078606396829</v>
      </c>
      <c r="AE295" s="72">
        <f>$AC295*0.0263</f>
        <v>28.646404190468004</v>
      </c>
      <c r="AF295" s="72"/>
      <c r="AG295" s="72"/>
      <c r="AI295" s="72"/>
      <c r="AJ295" s="72"/>
      <c r="AK295" s="72"/>
      <c r="AL295" s="72"/>
    </row>
    <row r="296" spans="1:38">
      <c r="A296" s="65">
        <v>295</v>
      </c>
      <c r="B296" s="144">
        <v>2011</v>
      </c>
      <c r="C296" s="79" t="s">
        <v>136</v>
      </c>
      <c r="D296" s="67" t="s">
        <v>105</v>
      </c>
      <c r="E296" s="67" t="s">
        <v>15</v>
      </c>
      <c r="F296" s="67" t="s">
        <v>35</v>
      </c>
      <c r="G296" s="67" t="s">
        <v>46</v>
      </c>
      <c r="H296" s="68">
        <v>40784</v>
      </c>
      <c r="I296" s="68"/>
      <c r="K296" s="70">
        <v>3.4</v>
      </c>
      <c r="L296" s="72">
        <v>99.6</v>
      </c>
      <c r="M296" s="72"/>
      <c r="N296" s="72">
        <v>30.00000060322774</v>
      </c>
      <c r="O296" s="48" t="s">
        <v>5</v>
      </c>
      <c r="P296" s="72">
        <v>75.88</v>
      </c>
      <c r="Q296" s="72">
        <v>43.6</v>
      </c>
      <c r="R296" s="76" t="s">
        <v>60</v>
      </c>
      <c r="S296" s="72">
        <v>399.42</v>
      </c>
      <c r="T296" s="73">
        <v>5.26</v>
      </c>
      <c r="U296" s="72">
        <f>N296*1000*X296/100</f>
        <v>771.00001550295292</v>
      </c>
      <c r="V296" s="72">
        <f>S296*U296/1000</f>
        <v>307.95282619218949</v>
      </c>
      <c r="W296" s="72">
        <f>P296*U296/1000</f>
        <v>58.503481176364062</v>
      </c>
      <c r="X296" s="72">
        <v>2.57</v>
      </c>
      <c r="Y296" s="72">
        <v>53.790000915527344</v>
      </c>
      <c r="Z296" s="73">
        <v>40.799999237060547</v>
      </c>
      <c r="AA296" s="73">
        <v>180.59999084472656</v>
      </c>
      <c r="AB296" s="73">
        <v>11.40000057220459</v>
      </c>
      <c r="AC296" s="72"/>
      <c r="AD296" s="72">
        <f>$N296*1000*$X296*0.01*$S296*0.001</f>
        <v>307.95282619218949</v>
      </c>
      <c r="AE296" s="72">
        <f>$N296*1000*$X296*0.01*$P296*0.001</f>
        <v>58.503481176364062</v>
      </c>
      <c r="AF296" s="72"/>
      <c r="AG296" s="72"/>
      <c r="AH296" s="74"/>
      <c r="AI296" s="72"/>
      <c r="AJ296" s="72"/>
      <c r="AK296" s="72"/>
      <c r="AL296" s="72"/>
    </row>
    <row r="297" spans="1:38">
      <c r="A297" s="65">
        <v>296</v>
      </c>
      <c r="B297" s="144">
        <v>2011</v>
      </c>
      <c r="C297" s="79" t="s">
        <v>136</v>
      </c>
      <c r="D297" s="67" t="s">
        <v>105</v>
      </c>
      <c r="E297" s="67" t="s">
        <v>23</v>
      </c>
      <c r="F297" s="67" t="s">
        <v>33</v>
      </c>
      <c r="G297" s="67" t="s">
        <v>34</v>
      </c>
      <c r="H297" s="68">
        <v>40814</v>
      </c>
      <c r="I297" s="68"/>
      <c r="J297" s="69">
        <v>5</v>
      </c>
      <c r="K297" s="70">
        <v>3.4</v>
      </c>
      <c r="L297" s="72">
        <v>56.96</v>
      </c>
      <c r="M297" s="72"/>
      <c r="N297" s="72">
        <v>17.156626851002532</v>
      </c>
      <c r="O297" s="48" t="s">
        <v>80</v>
      </c>
      <c r="P297" s="72"/>
      <c r="Q297" s="72"/>
      <c r="R297" s="72"/>
      <c r="S297" s="72"/>
      <c r="T297" s="72"/>
      <c r="U297" s="72"/>
      <c r="V297" s="72"/>
      <c r="W297" s="72"/>
      <c r="X297" s="72">
        <v>37</v>
      </c>
      <c r="Y297" s="72"/>
      <c r="Z297" s="72"/>
      <c r="AA297" s="72"/>
      <c r="AB297" s="72"/>
      <c r="AC297" s="72">
        <f>N297*X297</f>
        <v>634.79519348709368</v>
      </c>
      <c r="AD297" s="72">
        <f>$AC297*0.4089</f>
        <v>259.56775461687261</v>
      </c>
      <c r="AE297" s="72">
        <f>$AC297*0.0263</f>
        <v>16.695113588710566</v>
      </c>
      <c r="AF297" s="72"/>
      <c r="AG297" s="72"/>
      <c r="AI297" s="72"/>
      <c r="AJ297" s="72"/>
      <c r="AK297" s="72"/>
      <c r="AL297" s="72"/>
    </row>
    <row r="298" spans="1:38">
      <c r="A298" s="65">
        <v>297</v>
      </c>
      <c r="B298" s="144">
        <v>2011</v>
      </c>
      <c r="C298" s="79" t="s">
        <v>136</v>
      </c>
      <c r="D298" s="67" t="s">
        <v>105</v>
      </c>
      <c r="E298" s="67" t="s">
        <v>15</v>
      </c>
      <c r="F298" s="67" t="s">
        <v>35</v>
      </c>
      <c r="G298" s="75" t="s">
        <v>46</v>
      </c>
      <c r="H298" s="68">
        <v>40829</v>
      </c>
      <c r="I298" s="68"/>
      <c r="K298" s="70">
        <v>3.4</v>
      </c>
      <c r="L298" s="72">
        <v>130.87</v>
      </c>
      <c r="M298" s="72"/>
      <c r="N298" s="72">
        <v>39.418675491409786</v>
      </c>
      <c r="O298" s="48" t="s">
        <v>5</v>
      </c>
      <c r="P298" s="72">
        <v>52.69</v>
      </c>
      <c r="Q298" s="72">
        <v>23.3</v>
      </c>
      <c r="R298" s="76" t="s">
        <v>60</v>
      </c>
      <c r="S298" s="72">
        <v>365.72</v>
      </c>
      <c r="T298" s="73">
        <v>6.94</v>
      </c>
      <c r="U298" s="72">
        <f>N298*1000*X298/100</f>
        <v>1099.781046210333</v>
      </c>
      <c r="V298" s="72">
        <f>S298*U298/1000</f>
        <v>402.21192422004299</v>
      </c>
      <c r="W298" s="72">
        <f>P298*U298/1000</f>
        <v>57.947463324822444</v>
      </c>
      <c r="X298" s="72">
        <v>2.79</v>
      </c>
      <c r="Y298" s="72">
        <v>70.677688598632813</v>
      </c>
      <c r="Z298" s="73">
        <v>53.609397888183594</v>
      </c>
      <c r="AA298" s="73">
        <v>237.30043029785156</v>
      </c>
      <c r="AB298" s="73">
        <v>14.979096412658691</v>
      </c>
      <c r="AC298" s="72"/>
      <c r="AD298" s="72">
        <f>$N298*1000*$X298*0.01*$S298*0.001</f>
        <v>402.21192422004299</v>
      </c>
      <c r="AE298" s="72">
        <f>$N298*1000*$X298*0.01*$P298*0.001</f>
        <v>57.947463324822444</v>
      </c>
      <c r="AF298" s="72"/>
      <c r="AG298" s="72"/>
      <c r="AH298" s="74"/>
      <c r="AI298" s="72"/>
      <c r="AJ298" s="72"/>
      <c r="AK298" s="72"/>
      <c r="AL298" s="72"/>
    </row>
    <row r="299" spans="1:38">
      <c r="A299" s="65">
        <v>298</v>
      </c>
      <c r="B299" s="144">
        <v>2011</v>
      </c>
      <c r="C299" s="79" t="s">
        <v>136</v>
      </c>
      <c r="D299" s="67" t="s">
        <v>105</v>
      </c>
      <c r="E299" s="67" t="s">
        <v>23</v>
      </c>
      <c r="F299" s="67" t="s">
        <v>27</v>
      </c>
      <c r="G299" s="67" t="s">
        <v>45</v>
      </c>
      <c r="H299" s="68">
        <v>40894</v>
      </c>
      <c r="I299" s="68">
        <v>40908</v>
      </c>
      <c r="K299" s="70">
        <v>3.4</v>
      </c>
      <c r="L299" s="71">
        <v>50</v>
      </c>
      <c r="M299" s="71"/>
      <c r="N299" s="71">
        <f>L299/4.9</f>
        <v>10.204081632653061</v>
      </c>
      <c r="O299" s="48" t="s">
        <v>64</v>
      </c>
      <c r="P299" s="72"/>
      <c r="Q299" s="72"/>
      <c r="R299" s="72"/>
      <c r="S299" s="72"/>
      <c r="T299" s="72"/>
      <c r="U299" s="72"/>
      <c r="V299" s="72"/>
      <c r="W299" s="72"/>
      <c r="X299" s="72"/>
      <c r="Y299" s="72"/>
      <c r="Z299" s="72"/>
      <c r="AA299" s="72"/>
      <c r="AB299" s="72"/>
      <c r="AC299" s="72">
        <f>N299*AG299*AF299</f>
        <v>214.28571428571428</v>
      </c>
      <c r="AD299" s="72">
        <f>$AC299*0.4089</f>
        <v>87.621428571428567</v>
      </c>
      <c r="AE299" s="72">
        <f>$AC299*0.0263</f>
        <v>5.6357142857142852</v>
      </c>
      <c r="AF299" s="72">
        <v>14</v>
      </c>
      <c r="AG299" s="72">
        <v>1.5</v>
      </c>
      <c r="AI299" s="72"/>
      <c r="AJ299" s="72"/>
      <c r="AK299" s="72"/>
      <c r="AL299" s="72"/>
    </row>
    <row r="300" spans="1:38">
      <c r="A300" s="65">
        <v>299</v>
      </c>
      <c r="B300" s="145">
        <v>2012</v>
      </c>
      <c r="C300" s="66" t="s">
        <v>135</v>
      </c>
      <c r="D300" s="67" t="s">
        <v>105</v>
      </c>
      <c r="E300" s="67" t="s">
        <v>23</v>
      </c>
      <c r="F300" s="67" t="s">
        <v>27</v>
      </c>
      <c r="G300" s="67" t="s">
        <v>45</v>
      </c>
      <c r="H300" s="68">
        <v>40909</v>
      </c>
      <c r="I300" s="68">
        <v>40916</v>
      </c>
      <c r="K300" s="70">
        <v>1.5</v>
      </c>
      <c r="L300" s="71">
        <f>50/4.9*1.5</f>
        <v>15.306122448979592</v>
      </c>
      <c r="M300" s="71"/>
      <c r="N300" s="71">
        <f>L300/K300</f>
        <v>10.204081632653061</v>
      </c>
      <c r="O300" s="48" t="s">
        <v>64</v>
      </c>
      <c r="P300" s="72"/>
      <c r="Q300" s="72"/>
      <c r="R300" s="72"/>
      <c r="S300" s="72"/>
      <c r="T300" s="72"/>
      <c r="U300" s="72"/>
      <c r="V300" s="72"/>
      <c r="W300" s="72"/>
      <c r="X300" s="72"/>
      <c r="Y300" s="72"/>
      <c r="Z300" s="72"/>
      <c r="AA300" s="72"/>
      <c r="AB300" s="72"/>
      <c r="AC300" s="72">
        <f>N300*AG300*AF300</f>
        <v>107.14285714285714</v>
      </c>
      <c r="AD300" s="72">
        <f>$AC300*0.4089</f>
        <v>43.810714285714283</v>
      </c>
      <c r="AE300" s="72">
        <f>$AC300*0.0263</f>
        <v>2.8178571428571426</v>
      </c>
      <c r="AF300" s="72">
        <v>7</v>
      </c>
      <c r="AG300" s="72">
        <v>1.5</v>
      </c>
      <c r="AI300" s="72"/>
      <c r="AJ300" s="72"/>
      <c r="AK300" s="72"/>
      <c r="AL300" s="72"/>
    </row>
    <row r="301" spans="1:38">
      <c r="A301" s="65">
        <v>300</v>
      </c>
      <c r="B301" s="145">
        <v>2012</v>
      </c>
      <c r="C301" s="66" t="s">
        <v>135</v>
      </c>
      <c r="D301" s="67" t="s">
        <v>105</v>
      </c>
      <c r="E301" s="67" t="s">
        <v>15</v>
      </c>
      <c r="F301" s="67" t="s">
        <v>35</v>
      </c>
      <c r="G301" s="67" t="s">
        <v>44</v>
      </c>
      <c r="H301" s="68">
        <v>40924</v>
      </c>
      <c r="I301" s="68">
        <v>40926</v>
      </c>
      <c r="K301" s="70">
        <v>1.5</v>
      </c>
      <c r="L301" s="87">
        <v>30.61</v>
      </c>
      <c r="M301" s="87"/>
      <c r="N301" s="88">
        <f>30.6/1.5</f>
        <v>20.400000000000002</v>
      </c>
      <c r="O301" s="48" t="s">
        <v>2</v>
      </c>
      <c r="P301" s="72">
        <v>32.07</v>
      </c>
      <c r="Q301" s="72">
        <v>3.6</v>
      </c>
      <c r="R301" s="76" t="s">
        <v>60</v>
      </c>
      <c r="S301" s="72">
        <v>458.62</v>
      </c>
      <c r="T301" s="73">
        <v>14.3</v>
      </c>
      <c r="U301" s="72">
        <f>N301*1000*X301/100</f>
        <v>3408.8400000000006</v>
      </c>
      <c r="V301" s="72">
        <f>S301*U301/1000</f>
        <v>1563.3622008000002</v>
      </c>
      <c r="W301" s="72">
        <f>U301*P301/1000</f>
        <v>109.32149880000001</v>
      </c>
      <c r="X301" s="72">
        <v>16.71</v>
      </c>
      <c r="Y301" s="72">
        <v>27.497983455657959</v>
      </c>
      <c r="Z301" s="73">
        <v>46.935332775115967</v>
      </c>
      <c r="AA301" s="73">
        <v>173.25260162353516</v>
      </c>
      <c r="AB301" s="73">
        <v>16.937532901763916</v>
      </c>
      <c r="AC301" s="72"/>
      <c r="AD301" s="72">
        <f>$N301*1000*$X301*0.01*$S301*0.001</f>
        <v>1563.3622008000002</v>
      </c>
      <c r="AE301" s="72">
        <f>$N301*1000*$X301*0.01*$P301*0.001</f>
        <v>109.32149880000001</v>
      </c>
      <c r="AF301" s="72"/>
      <c r="AG301" s="72"/>
      <c r="AH301" s="74"/>
      <c r="AI301" s="72"/>
      <c r="AJ301" s="72"/>
      <c r="AK301" s="72"/>
      <c r="AL301" s="72"/>
    </row>
    <row r="302" spans="1:38">
      <c r="A302" s="65">
        <v>301</v>
      </c>
      <c r="B302" s="145">
        <v>2012</v>
      </c>
      <c r="C302" s="66" t="s">
        <v>135</v>
      </c>
      <c r="D302" s="67" t="s">
        <v>105</v>
      </c>
      <c r="E302" s="67" t="s">
        <v>22</v>
      </c>
      <c r="F302" s="67" t="s">
        <v>38</v>
      </c>
      <c r="G302" s="67"/>
      <c r="H302" s="68">
        <v>40941</v>
      </c>
      <c r="I302" s="68"/>
      <c r="K302" s="70">
        <v>1.5</v>
      </c>
      <c r="L302" s="72"/>
      <c r="M302" s="72"/>
      <c r="N302" s="72"/>
      <c r="P302" s="72"/>
      <c r="Q302" s="72"/>
      <c r="R302" s="72"/>
      <c r="S302" s="72"/>
      <c r="T302" s="72"/>
      <c r="U302" s="72"/>
      <c r="V302" s="72"/>
      <c r="W302" s="72"/>
      <c r="X302" s="72"/>
      <c r="Y302" s="72"/>
      <c r="Z302" s="72"/>
      <c r="AA302" s="72"/>
      <c r="AB302" s="72"/>
      <c r="AC302" s="72"/>
      <c r="AD302" s="72"/>
      <c r="AE302" s="72"/>
      <c r="AF302" s="72"/>
      <c r="AG302" s="72"/>
      <c r="AH302" s="74"/>
      <c r="AI302" s="72"/>
      <c r="AJ302" s="72"/>
      <c r="AK302" s="72"/>
      <c r="AL302" s="72"/>
    </row>
    <row r="303" spans="1:38">
      <c r="A303" s="65">
        <v>302</v>
      </c>
      <c r="B303" s="145">
        <v>2012</v>
      </c>
      <c r="C303" s="66" t="s">
        <v>135</v>
      </c>
      <c r="D303" s="67" t="s">
        <v>105</v>
      </c>
      <c r="E303" s="67" t="s">
        <v>22</v>
      </c>
      <c r="F303" s="67" t="s">
        <v>28</v>
      </c>
      <c r="G303" s="89" t="s">
        <v>125</v>
      </c>
      <c r="H303" s="68">
        <v>40996</v>
      </c>
      <c r="I303" s="68"/>
      <c r="K303" s="70">
        <v>1.5</v>
      </c>
      <c r="L303" s="72"/>
      <c r="M303" s="72"/>
      <c r="N303" s="72"/>
      <c r="P303" s="72"/>
      <c r="Q303" s="72"/>
      <c r="R303" s="72"/>
      <c r="S303" s="72"/>
      <c r="T303" s="72"/>
      <c r="U303" s="72"/>
      <c r="V303" s="72"/>
      <c r="W303" s="72"/>
      <c r="X303" s="72"/>
      <c r="Y303" s="72"/>
      <c r="Z303" s="72"/>
      <c r="AA303" s="72"/>
      <c r="AB303" s="72"/>
      <c r="AC303" s="72"/>
      <c r="AD303" s="72"/>
      <c r="AE303" s="72"/>
      <c r="AF303" s="72"/>
      <c r="AG303" s="72"/>
      <c r="AH303" s="74"/>
      <c r="AI303" s="72"/>
      <c r="AJ303" s="72"/>
      <c r="AK303" s="72"/>
      <c r="AL303" s="72"/>
    </row>
    <row r="304" spans="1:38">
      <c r="A304" s="65">
        <v>303</v>
      </c>
      <c r="B304" s="145">
        <v>2012</v>
      </c>
      <c r="C304" s="66" t="s">
        <v>135</v>
      </c>
      <c r="D304" s="67" t="s">
        <v>105</v>
      </c>
      <c r="E304" s="67" t="s">
        <v>21</v>
      </c>
      <c r="F304" s="67" t="s">
        <v>39</v>
      </c>
      <c r="G304" s="77" t="s">
        <v>47</v>
      </c>
      <c r="H304" s="68">
        <v>40996</v>
      </c>
      <c r="I304" s="68"/>
      <c r="K304" s="70">
        <v>1.5</v>
      </c>
      <c r="L304" s="72">
        <v>48</v>
      </c>
      <c r="M304" s="72"/>
      <c r="N304" s="72">
        <v>32</v>
      </c>
      <c r="O304" s="48" t="s">
        <v>3</v>
      </c>
      <c r="P304" s="72"/>
      <c r="Q304" s="72"/>
      <c r="R304" s="72"/>
      <c r="S304" s="72"/>
      <c r="T304" s="72"/>
      <c r="U304" s="72"/>
      <c r="V304" s="72"/>
      <c r="W304" s="72"/>
      <c r="X304" s="72"/>
      <c r="Y304" s="72"/>
      <c r="Z304" s="72"/>
      <c r="AA304" s="72"/>
      <c r="AB304" s="72"/>
      <c r="AC304" s="72"/>
      <c r="AD304" s="72"/>
      <c r="AE304" s="72"/>
      <c r="AF304" s="72"/>
      <c r="AG304" s="72"/>
      <c r="AH304" s="74"/>
      <c r="AI304" s="72"/>
      <c r="AJ304" s="72"/>
      <c r="AK304" s="72"/>
      <c r="AL304" s="72"/>
    </row>
    <row r="305" spans="1:38">
      <c r="A305" s="65">
        <v>304</v>
      </c>
      <c r="B305" s="145">
        <v>2012</v>
      </c>
      <c r="C305" s="66" t="s">
        <v>135</v>
      </c>
      <c r="D305" s="67" t="s">
        <v>105</v>
      </c>
      <c r="E305" s="67" t="s">
        <v>22</v>
      </c>
      <c r="F305" s="67" t="s">
        <v>40</v>
      </c>
      <c r="G305" s="67"/>
      <c r="H305" s="68">
        <v>40997</v>
      </c>
      <c r="I305" s="68"/>
      <c r="K305" s="70">
        <v>1.5</v>
      </c>
      <c r="L305" s="72"/>
      <c r="M305" s="72"/>
      <c r="N305" s="72"/>
      <c r="P305" s="72"/>
      <c r="Q305" s="72"/>
      <c r="R305" s="72"/>
      <c r="S305" s="72"/>
      <c r="T305" s="72"/>
      <c r="U305" s="72"/>
      <c r="V305" s="72"/>
      <c r="W305" s="72"/>
      <c r="X305" s="72"/>
      <c r="Y305" s="72"/>
      <c r="Z305" s="72"/>
      <c r="AA305" s="72"/>
      <c r="AB305" s="72"/>
      <c r="AC305" s="72"/>
      <c r="AD305" s="72"/>
      <c r="AE305" s="72"/>
      <c r="AF305" s="72"/>
      <c r="AG305" s="72"/>
      <c r="AH305" s="74"/>
      <c r="AI305" s="72"/>
      <c r="AJ305" s="72"/>
      <c r="AK305" s="72"/>
      <c r="AL305" s="72"/>
    </row>
    <row r="306" spans="1:38">
      <c r="A306" s="65">
        <v>305</v>
      </c>
      <c r="B306" s="145">
        <v>2012</v>
      </c>
      <c r="C306" s="66" t="s">
        <v>135</v>
      </c>
      <c r="D306" s="67" t="s">
        <v>105</v>
      </c>
      <c r="E306" s="67" t="s">
        <v>15</v>
      </c>
      <c r="F306" s="67" t="s">
        <v>32</v>
      </c>
      <c r="G306" s="78" t="s">
        <v>19</v>
      </c>
      <c r="H306" s="68">
        <v>41024</v>
      </c>
      <c r="I306" s="68"/>
      <c r="K306" s="70">
        <v>1.5</v>
      </c>
      <c r="L306" s="72">
        <v>150</v>
      </c>
      <c r="M306" s="72"/>
      <c r="N306" s="72">
        <f>L306/K306</f>
        <v>100</v>
      </c>
      <c r="O306" s="48" t="s">
        <v>3</v>
      </c>
      <c r="P306" s="72">
        <v>270</v>
      </c>
      <c r="Q306" s="72">
        <v>135</v>
      </c>
      <c r="R306" s="72">
        <v>135</v>
      </c>
      <c r="S306" s="72">
        <v>0</v>
      </c>
      <c r="T306" s="72">
        <v>0</v>
      </c>
      <c r="U306" s="72">
        <f>N306</f>
        <v>100</v>
      </c>
      <c r="V306" s="72">
        <f>S306*U306/1000</f>
        <v>0</v>
      </c>
      <c r="W306" s="72">
        <f>U306*P306/1000</f>
        <v>27</v>
      </c>
      <c r="X306" s="72">
        <v>100</v>
      </c>
      <c r="Y306" s="72">
        <v>27.540000915527344</v>
      </c>
      <c r="Z306" s="72">
        <v>0</v>
      </c>
      <c r="AA306" s="72">
        <v>0</v>
      </c>
      <c r="AB306" s="72">
        <v>0</v>
      </c>
      <c r="AC306" s="72"/>
      <c r="AD306" s="72">
        <f>$N306*1000*$X306*0.01*$S306*0.001</f>
        <v>0</v>
      </c>
      <c r="AE306" s="72">
        <f>$N306*$X306*0.01*$P306*0.001</f>
        <v>27</v>
      </c>
      <c r="AF306" s="72"/>
      <c r="AG306" s="72"/>
      <c r="AH306" s="74"/>
      <c r="AI306" s="72"/>
      <c r="AJ306" s="72"/>
      <c r="AK306" s="72"/>
      <c r="AL306" s="72"/>
    </row>
    <row r="307" spans="1:38">
      <c r="A307" s="65">
        <v>306</v>
      </c>
      <c r="B307" s="145">
        <v>2012</v>
      </c>
      <c r="C307" s="66" t="s">
        <v>135</v>
      </c>
      <c r="D307" s="67" t="s">
        <v>105</v>
      </c>
      <c r="E307" s="67" t="s">
        <v>23</v>
      </c>
      <c r="F307" s="67" t="s">
        <v>33</v>
      </c>
      <c r="G307" s="67" t="s">
        <v>34</v>
      </c>
      <c r="H307" s="68">
        <v>41078</v>
      </c>
      <c r="I307" s="68">
        <v>41078</v>
      </c>
      <c r="J307" s="69">
        <v>1</v>
      </c>
      <c r="K307" s="70">
        <v>1.5</v>
      </c>
      <c r="L307" s="72">
        <v>20.2</v>
      </c>
      <c r="M307" s="72"/>
      <c r="N307" s="72">
        <v>13.466666666666667</v>
      </c>
      <c r="O307" s="48" t="s">
        <v>80</v>
      </c>
      <c r="P307" s="72"/>
      <c r="Q307" s="72"/>
      <c r="R307" s="72"/>
      <c r="S307" s="72"/>
      <c r="T307" s="72"/>
      <c r="U307" s="72"/>
      <c r="V307" s="72"/>
      <c r="W307" s="72"/>
      <c r="X307" s="72">
        <v>37</v>
      </c>
      <c r="Y307" s="72"/>
      <c r="Z307" s="72"/>
      <c r="AA307" s="72"/>
      <c r="AB307" s="72"/>
      <c r="AC307" s="72">
        <f>N307*X307</f>
        <v>498.26666666666665</v>
      </c>
      <c r="AD307" s="72">
        <f>$AC307*0.4089</f>
        <v>203.74123999999998</v>
      </c>
      <c r="AE307" s="72">
        <f>$AC307*0.0263</f>
        <v>13.104413333333333</v>
      </c>
      <c r="AF307" s="72"/>
      <c r="AG307" s="72"/>
      <c r="AI307" s="72"/>
      <c r="AJ307" s="72"/>
      <c r="AK307" s="72"/>
      <c r="AL307" s="72"/>
    </row>
    <row r="308" spans="1:38">
      <c r="A308" s="65">
        <v>307</v>
      </c>
      <c r="B308" s="145">
        <v>2012</v>
      </c>
      <c r="C308" s="66" t="s">
        <v>135</v>
      </c>
      <c r="D308" s="67" t="s">
        <v>105</v>
      </c>
      <c r="E308" s="67" t="s">
        <v>24</v>
      </c>
      <c r="F308" s="67" t="s">
        <v>37</v>
      </c>
      <c r="G308" s="67" t="s">
        <v>120</v>
      </c>
      <c r="H308" s="68">
        <v>41079</v>
      </c>
      <c r="I308" s="68"/>
      <c r="K308" s="70">
        <v>1.5</v>
      </c>
      <c r="L308" s="72">
        <v>10.5</v>
      </c>
      <c r="M308" s="72"/>
      <c r="N308" s="72">
        <v>7</v>
      </c>
      <c r="O308" s="48" t="s">
        <v>3</v>
      </c>
      <c r="P308" s="72"/>
      <c r="Q308" s="72"/>
      <c r="R308" s="72"/>
      <c r="S308" s="72"/>
      <c r="T308" s="72"/>
      <c r="U308" s="72"/>
      <c r="V308" s="72"/>
      <c r="W308" s="72"/>
      <c r="X308" s="72"/>
      <c r="Y308" s="72"/>
      <c r="Z308" s="72"/>
      <c r="AA308" s="72"/>
      <c r="AB308" s="72"/>
      <c r="AC308" s="72"/>
      <c r="AD308" s="72"/>
      <c r="AE308" s="72"/>
      <c r="AF308" s="72"/>
      <c r="AG308" s="72"/>
      <c r="AH308" s="74"/>
      <c r="AI308" s="72"/>
      <c r="AJ308" s="72"/>
      <c r="AK308" s="72"/>
      <c r="AL308" s="72"/>
    </row>
    <row r="309" spans="1:38">
      <c r="A309" s="65">
        <v>308</v>
      </c>
      <c r="B309" s="145">
        <v>2012</v>
      </c>
      <c r="C309" s="66" t="s">
        <v>135</v>
      </c>
      <c r="D309" s="67" t="s">
        <v>105</v>
      </c>
      <c r="E309" s="67" t="s">
        <v>15</v>
      </c>
      <c r="F309" s="67" t="s">
        <v>35</v>
      </c>
      <c r="G309" s="67" t="s">
        <v>46</v>
      </c>
      <c r="H309" s="68">
        <v>41086</v>
      </c>
      <c r="I309" s="68"/>
      <c r="K309" s="70">
        <v>1.5</v>
      </c>
      <c r="L309" s="76">
        <v>28.16</v>
      </c>
      <c r="M309" s="76"/>
      <c r="N309" s="76">
        <v>18.77</v>
      </c>
      <c r="O309" s="48" t="s">
        <v>5</v>
      </c>
      <c r="P309" s="72">
        <v>100.2</v>
      </c>
      <c r="Q309" s="72">
        <v>69.5</v>
      </c>
      <c r="R309" s="48">
        <v>0.02</v>
      </c>
      <c r="S309" s="72">
        <v>321.72000000000003</v>
      </c>
      <c r="T309" s="73">
        <v>3.21</v>
      </c>
      <c r="U309" s="72">
        <f>N309*1000*X309/100</f>
        <v>183.946</v>
      </c>
      <c r="V309" s="72">
        <f>S309*U309/1000</f>
        <v>59.179107120000005</v>
      </c>
      <c r="W309" s="72">
        <f>P309*U309/1000</f>
        <v>18.431389200000002</v>
      </c>
      <c r="X309" s="72">
        <v>0.98</v>
      </c>
      <c r="Y309" s="72">
        <v>29.1</v>
      </c>
      <c r="Z309" s="73">
        <v>20.7</v>
      </c>
      <c r="AA309" s="73">
        <v>52.6</v>
      </c>
      <c r="AB309" s="73">
        <v>4.7</v>
      </c>
      <c r="AC309" s="72"/>
      <c r="AD309" s="72">
        <f>$N309*1000*$X309*0.01*$S309*0.001</f>
        <v>59.179107120000012</v>
      </c>
      <c r="AE309" s="72">
        <f>$N309*1000*$X309*0.01*$P309*0.001</f>
        <v>18.431389200000002</v>
      </c>
      <c r="AF309" s="72"/>
      <c r="AG309" s="72"/>
      <c r="AH309" s="74"/>
      <c r="AI309" s="72"/>
      <c r="AJ309" s="72"/>
      <c r="AK309" s="72"/>
      <c r="AL309" s="72"/>
    </row>
    <row r="310" spans="1:38">
      <c r="A310" s="65">
        <v>309</v>
      </c>
      <c r="B310" s="145">
        <v>2012</v>
      </c>
      <c r="C310" s="66" t="s">
        <v>135</v>
      </c>
      <c r="D310" s="67" t="s">
        <v>105</v>
      </c>
      <c r="E310" s="67" t="s">
        <v>23</v>
      </c>
      <c r="F310" s="67" t="s">
        <v>33</v>
      </c>
      <c r="G310" s="67" t="s">
        <v>34</v>
      </c>
      <c r="H310" s="68">
        <v>41099</v>
      </c>
      <c r="I310" s="68"/>
      <c r="J310" s="69">
        <v>2</v>
      </c>
      <c r="K310" s="70">
        <v>1.5</v>
      </c>
      <c r="L310" s="72">
        <v>20.2</v>
      </c>
      <c r="M310" s="72"/>
      <c r="N310" s="72">
        <v>13.466666666666667</v>
      </c>
      <c r="O310" s="48" t="s">
        <v>80</v>
      </c>
      <c r="P310" s="72"/>
      <c r="Q310" s="72"/>
      <c r="R310" s="72"/>
      <c r="S310" s="72"/>
      <c r="T310" s="72"/>
      <c r="U310" s="72"/>
      <c r="V310" s="72"/>
      <c r="W310" s="72"/>
      <c r="X310" s="72">
        <v>37</v>
      </c>
      <c r="Y310" s="72"/>
      <c r="Z310" s="72"/>
      <c r="AA310" s="72"/>
      <c r="AB310" s="72"/>
      <c r="AC310" s="72">
        <f>N310*X310</f>
        <v>498.26666666666665</v>
      </c>
      <c r="AD310" s="72">
        <f>$AC310*0.4089</f>
        <v>203.74123999999998</v>
      </c>
      <c r="AE310" s="72">
        <f>$AC310*0.0263</f>
        <v>13.104413333333333</v>
      </c>
      <c r="AF310" s="72"/>
      <c r="AG310" s="72"/>
      <c r="AI310" s="72"/>
      <c r="AJ310" s="72"/>
      <c r="AK310" s="72"/>
      <c r="AL310" s="72"/>
    </row>
    <row r="311" spans="1:38">
      <c r="A311" s="65">
        <v>310</v>
      </c>
      <c r="B311" s="145">
        <v>2012</v>
      </c>
      <c r="C311" s="66" t="s">
        <v>135</v>
      </c>
      <c r="D311" s="67" t="s">
        <v>105</v>
      </c>
      <c r="E311" s="67" t="s">
        <v>23</v>
      </c>
      <c r="F311" s="67" t="s">
        <v>33</v>
      </c>
      <c r="G311" s="67" t="s">
        <v>34</v>
      </c>
      <c r="H311" s="68">
        <v>41102</v>
      </c>
      <c r="I311" s="68"/>
      <c r="J311" s="69">
        <v>2</v>
      </c>
      <c r="K311" s="70">
        <v>1.5</v>
      </c>
      <c r="L311" s="72">
        <v>9.18</v>
      </c>
      <c r="M311" s="72"/>
      <c r="N311" s="72">
        <v>6.12</v>
      </c>
      <c r="O311" s="48" t="s">
        <v>80</v>
      </c>
      <c r="P311" s="72"/>
      <c r="Q311" s="72"/>
      <c r="R311" s="72"/>
      <c r="S311" s="72"/>
      <c r="T311" s="72"/>
      <c r="U311" s="72"/>
      <c r="V311" s="72"/>
      <c r="W311" s="72"/>
      <c r="X311" s="72">
        <v>37</v>
      </c>
      <c r="Y311" s="72"/>
      <c r="Z311" s="72"/>
      <c r="AA311" s="72"/>
      <c r="AB311" s="72"/>
      <c r="AC311" s="72">
        <f>N311*X311</f>
        <v>226.44</v>
      </c>
      <c r="AD311" s="72">
        <f>$AC311*0.4089</f>
        <v>92.591315999999992</v>
      </c>
      <c r="AE311" s="72">
        <f>$AC311*0.0263</f>
        <v>5.9553719999999997</v>
      </c>
      <c r="AF311" s="72"/>
      <c r="AG311" s="72"/>
      <c r="AI311" s="72"/>
      <c r="AJ311" s="72"/>
      <c r="AK311" s="72"/>
      <c r="AL311" s="72"/>
    </row>
    <row r="312" spans="1:38">
      <c r="A312" s="65">
        <v>311</v>
      </c>
      <c r="B312" s="145">
        <v>2012</v>
      </c>
      <c r="C312" s="66" t="s">
        <v>135</v>
      </c>
      <c r="D312" s="67" t="s">
        <v>105</v>
      </c>
      <c r="E312" s="67" t="s">
        <v>15</v>
      </c>
      <c r="F312" s="67" t="s">
        <v>35</v>
      </c>
      <c r="G312" s="67" t="s">
        <v>46</v>
      </c>
      <c r="H312" s="68">
        <v>41103</v>
      </c>
      <c r="I312" s="68"/>
      <c r="K312" s="70">
        <v>1.5</v>
      </c>
      <c r="L312" s="76">
        <v>28.16</v>
      </c>
      <c r="M312" s="76"/>
      <c r="N312" s="76">
        <v>18.77</v>
      </c>
      <c r="O312" s="48" t="s">
        <v>5</v>
      </c>
      <c r="P312" s="72">
        <v>92.88</v>
      </c>
      <c r="Q312" s="72">
        <v>46.2</v>
      </c>
      <c r="R312" s="48">
        <v>0.03</v>
      </c>
      <c r="S312" s="72">
        <v>372.03</v>
      </c>
      <c r="T312" s="73">
        <v>4.01</v>
      </c>
      <c r="U312" s="72">
        <f>N312*1000*X312/100</f>
        <v>341.61400000000003</v>
      </c>
      <c r="V312" s="72">
        <f>S312*U312/1000</f>
        <v>127.09065642</v>
      </c>
      <c r="W312" s="72">
        <f>P312*U312/1000</f>
        <v>31.729108320000002</v>
      </c>
      <c r="X312" s="72">
        <v>1.82</v>
      </c>
      <c r="Y312" s="72">
        <v>29.1</v>
      </c>
      <c r="Z312" s="73">
        <v>20.7</v>
      </c>
      <c r="AA312" s="73">
        <v>52.6</v>
      </c>
      <c r="AB312" s="73">
        <v>4.7</v>
      </c>
      <c r="AC312" s="72"/>
      <c r="AD312" s="72">
        <f>$N312*1000*$X312*0.01*$S312*0.001</f>
        <v>127.09065642</v>
      </c>
      <c r="AE312" s="72">
        <f>$N312*1000*$X312*0.01*$P312*0.001</f>
        <v>31.729108320000005</v>
      </c>
      <c r="AF312" s="72"/>
      <c r="AG312" s="72"/>
      <c r="AH312" s="74"/>
      <c r="AI312" s="72"/>
      <c r="AJ312" s="72"/>
      <c r="AK312" s="72"/>
      <c r="AL312" s="72"/>
    </row>
    <row r="313" spans="1:38">
      <c r="A313" s="65">
        <v>312</v>
      </c>
      <c r="B313" s="145">
        <v>2012</v>
      </c>
      <c r="C313" s="66" t="s">
        <v>135</v>
      </c>
      <c r="D313" s="67" t="s">
        <v>105</v>
      </c>
      <c r="E313" s="67" t="s">
        <v>24</v>
      </c>
      <c r="F313" s="67" t="s">
        <v>31</v>
      </c>
      <c r="G313" s="75" t="s">
        <v>119</v>
      </c>
      <c r="H313" s="68">
        <v>41107</v>
      </c>
      <c r="I313" s="68"/>
      <c r="K313" s="70">
        <v>1.5</v>
      </c>
      <c r="L313" s="76">
        <v>4</v>
      </c>
      <c r="M313" s="76"/>
      <c r="N313" s="76">
        <v>2.67</v>
      </c>
      <c r="O313" s="48" t="s">
        <v>7</v>
      </c>
      <c r="P313" s="72"/>
      <c r="Q313" s="72"/>
      <c r="R313" s="72"/>
      <c r="S313" s="72"/>
      <c r="T313" s="72"/>
      <c r="U313" s="72"/>
      <c r="V313" s="72"/>
      <c r="W313" s="72"/>
      <c r="X313" s="72"/>
      <c r="Y313" s="72"/>
      <c r="Z313" s="72"/>
      <c r="AA313" s="72"/>
      <c r="AB313" s="72"/>
      <c r="AC313" s="72"/>
      <c r="AD313" s="72"/>
      <c r="AE313" s="72"/>
      <c r="AF313" s="72"/>
      <c r="AG313" s="72"/>
      <c r="AH313" s="74"/>
      <c r="AI313" s="72"/>
      <c r="AJ313" s="72"/>
      <c r="AK313" s="72"/>
      <c r="AL313" s="72"/>
    </row>
    <row r="314" spans="1:38">
      <c r="A314" s="65">
        <v>313</v>
      </c>
      <c r="B314" s="145">
        <v>2012</v>
      </c>
      <c r="C314" s="66" t="s">
        <v>135</v>
      </c>
      <c r="D314" s="67" t="s">
        <v>105</v>
      </c>
      <c r="E314" s="67" t="s">
        <v>23</v>
      </c>
      <c r="F314" s="67" t="s">
        <v>33</v>
      </c>
      <c r="G314" s="78" t="s">
        <v>41</v>
      </c>
      <c r="H314" s="68">
        <v>41128</v>
      </c>
      <c r="I314" s="68"/>
      <c r="J314" s="69">
        <v>3</v>
      </c>
      <c r="K314" s="70">
        <v>1.5</v>
      </c>
      <c r="L314" s="72">
        <v>36.729999999999997</v>
      </c>
      <c r="M314" s="72"/>
      <c r="N314" s="72">
        <v>24.486666666666665</v>
      </c>
      <c r="O314" s="48" t="s">
        <v>80</v>
      </c>
      <c r="P314" s="72"/>
      <c r="Q314" s="72"/>
      <c r="R314" s="72"/>
      <c r="S314" s="72"/>
      <c r="T314" s="72"/>
      <c r="U314" s="72"/>
      <c r="V314" s="72"/>
      <c r="W314" s="72"/>
      <c r="X314" s="72">
        <v>70</v>
      </c>
      <c r="Y314" s="72"/>
      <c r="Z314" s="72"/>
      <c r="AA314" s="72"/>
      <c r="AB314" s="72"/>
      <c r="AC314" s="72">
        <f>N314*X314</f>
        <v>1714.0666666666666</v>
      </c>
      <c r="AD314" s="72">
        <f>$AC314*0.4089</f>
        <v>700.88185999999996</v>
      </c>
      <c r="AE314" s="72">
        <f>$AC314*0.0263</f>
        <v>45.079953333333336</v>
      </c>
      <c r="AF314" s="72"/>
      <c r="AG314" s="72"/>
      <c r="AI314" s="72"/>
      <c r="AJ314" s="72"/>
      <c r="AK314" s="72"/>
      <c r="AL314" s="72"/>
    </row>
    <row r="315" spans="1:38">
      <c r="A315" s="65">
        <v>314</v>
      </c>
      <c r="B315" s="145">
        <v>2012</v>
      </c>
      <c r="C315" s="66" t="s">
        <v>135</v>
      </c>
      <c r="D315" s="67" t="s">
        <v>105</v>
      </c>
      <c r="E315" s="67" t="s">
        <v>15</v>
      </c>
      <c r="F315" s="67" t="s">
        <v>35</v>
      </c>
      <c r="G315" s="67" t="s">
        <v>46</v>
      </c>
      <c r="H315" s="68">
        <v>41137</v>
      </c>
      <c r="I315" s="68"/>
      <c r="K315" s="70">
        <v>1.5</v>
      </c>
      <c r="L315" s="76">
        <v>29.39</v>
      </c>
      <c r="M315" s="76"/>
      <c r="N315" s="76">
        <v>19.59</v>
      </c>
      <c r="O315" s="48" t="s">
        <v>5</v>
      </c>
      <c r="P315" s="72">
        <v>79.790000000000006</v>
      </c>
      <c r="Q315" s="72">
        <v>40.299999999999997</v>
      </c>
      <c r="R315" s="48">
        <v>0.1</v>
      </c>
      <c r="S315" s="72">
        <v>381.17</v>
      </c>
      <c r="T315" s="73">
        <v>4.78</v>
      </c>
      <c r="U315" s="72">
        <f>N315*1000*X315/100</f>
        <v>550.47900000000004</v>
      </c>
      <c r="V315" s="72">
        <f>S315*U315/1000</f>
        <v>209.82608043000002</v>
      </c>
      <c r="W315" s="72">
        <f>P315*U315/1000</f>
        <v>43.922719410000006</v>
      </c>
      <c r="X315" s="72">
        <v>2.81</v>
      </c>
      <c r="Y315" s="72">
        <v>30.4</v>
      </c>
      <c r="Z315" s="73">
        <v>21.6</v>
      </c>
      <c r="AA315" s="73">
        <v>54.9</v>
      </c>
      <c r="AB315" s="73">
        <v>4.9000000000000004</v>
      </c>
      <c r="AC315" s="72"/>
      <c r="AD315" s="72">
        <f>$N315*1000*$X315*0.01*$S315*0.001</f>
        <v>209.82608043000005</v>
      </c>
      <c r="AE315" s="72">
        <f>$N315*1000*$X315*0.01*$P315*0.001</f>
        <v>43.922719410000006</v>
      </c>
      <c r="AF315" s="72"/>
      <c r="AG315" s="72"/>
      <c r="AH315" s="74"/>
      <c r="AI315" s="72"/>
      <c r="AJ315" s="72"/>
      <c r="AK315" s="72"/>
      <c r="AL315" s="72"/>
    </row>
    <row r="316" spans="1:38">
      <c r="A316" s="65">
        <v>315</v>
      </c>
      <c r="B316" s="152">
        <v>2012</v>
      </c>
      <c r="C316" s="66" t="s">
        <v>135</v>
      </c>
      <c r="D316" s="67" t="s">
        <v>105</v>
      </c>
      <c r="E316" s="67" t="s">
        <v>23</v>
      </c>
      <c r="F316" s="67" t="s">
        <v>33</v>
      </c>
      <c r="G316" s="67" t="s">
        <v>34</v>
      </c>
      <c r="H316" s="84">
        <v>41148</v>
      </c>
      <c r="I316" s="84"/>
      <c r="J316" s="69">
        <v>4</v>
      </c>
      <c r="K316" s="70">
        <v>1.5</v>
      </c>
      <c r="L316" s="72">
        <v>29.85</v>
      </c>
      <c r="M316" s="72"/>
      <c r="N316" s="72">
        <v>19.900000000000002</v>
      </c>
      <c r="O316" s="48" t="s">
        <v>80</v>
      </c>
      <c r="P316" s="72"/>
      <c r="Q316" s="72"/>
      <c r="R316" s="72"/>
      <c r="S316" s="72"/>
      <c r="T316" s="72"/>
      <c r="U316" s="72"/>
      <c r="V316" s="72"/>
      <c r="W316" s="72"/>
      <c r="X316" s="72">
        <v>37</v>
      </c>
      <c r="Y316" s="72"/>
      <c r="Z316" s="72"/>
      <c r="AA316" s="72"/>
      <c r="AB316" s="72"/>
      <c r="AC316" s="72">
        <f>N316*X316</f>
        <v>736.30000000000007</v>
      </c>
      <c r="AD316" s="72">
        <f>$AC316*0.4089</f>
        <v>301.07307000000003</v>
      </c>
      <c r="AE316" s="72">
        <f>$AC316*0.0263</f>
        <v>19.364690000000003</v>
      </c>
      <c r="AF316" s="72"/>
      <c r="AG316" s="72"/>
      <c r="AI316" s="72"/>
      <c r="AJ316" s="72"/>
      <c r="AK316" s="72"/>
      <c r="AL316" s="72"/>
    </row>
    <row r="317" spans="1:38">
      <c r="A317" s="65">
        <v>316</v>
      </c>
      <c r="B317" s="145">
        <v>2012</v>
      </c>
      <c r="C317" s="66" t="s">
        <v>135</v>
      </c>
      <c r="D317" s="67" t="s">
        <v>105</v>
      </c>
      <c r="E317" s="67" t="s">
        <v>15</v>
      </c>
      <c r="F317" s="67" t="s">
        <v>35</v>
      </c>
      <c r="G317" s="67" t="s">
        <v>46</v>
      </c>
      <c r="H317" s="68">
        <v>41157</v>
      </c>
      <c r="I317" s="68"/>
      <c r="K317" s="70">
        <v>1.5</v>
      </c>
      <c r="L317" s="76">
        <v>29.39</v>
      </c>
      <c r="M317" s="76"/>
      <c r="N317" s="76">
        <v>19.59</v>
      </c>
      <c r="O317" s="48" t="s">
        <v>5</v>
      </c>
      <c r="P317" s="72">
        <v>57.78</v>
      </c>
      <c r="Q317" s="72">
        <v>31</v>
      </c>
      <c r="R317" s="76" t="s">
        <v>60</v>
      </c>
      <c r="S317" s="72">
        <v>406.27</v>
      </c>
      <c r="T317" s="73">
        <v>7.03</v>
      </c>
      <c r="U317" s="72">
        <f>N317*1000*X317/100</f>
        <v>695.44500000000005</v>
      </c>
      <c r="V317" s="72">
        <f>S317*U317/1000</f>
        <v>282.53844014999999</v>
      </c>
      <c r="W317" s="72">
        <f>P317*U317/1000</f>
        <v>40.1828121</v>
      </c>
      <c r="X317" s="72">
        <v>3.55</v>
      </c>
      <c r="Y317" s="72">
        <v>30.4</v>
      </c>
      <c r="Z317" s="73">
        <v>21.6</v>
      </c>
      <c r="AA317" s="73">
        <v>54.9</v>
      </c>
      <c r="AB317" s="73">
        <v>4.9000000000000004</v>
      </c>
      <c r="AC317" s="72"/>
      <c r="AD317" s="72">
        <f>$N317*1000*$X317*0.01*$S317*0.001</f>
        <v>282.53844014999999</v>
      </c>
      <c r="AE317" s="72">
        <f>$N317*1000*$X317*0.01*$P317*0.001</f>
        <v>40.182812100000007</v>
      </c>
      <c r="AF317" s="72"/>
      <c r="AG317" s="72"/>
      <c r="AH317" s="74"/>
      <c r="AI317" s="72"/>
      <c r="AJ317" s="72"/>
      <c r="AK317" s="72"/>
      <c r="AL317" s="72"/>
    </row>
    <row r="318" spans="1:38">
      <c r="A318" s="65">
        <v>317</v>
      </c>
      <c r="B318" s="145">
        <v>2012</v>
      </c>
      <c r="C318" s="66" t="s">
        <v>135</v>
      </c>
      <c r="D318" s="67" t="s">
        <v>105</v>
      </c>
      <c r="E318" s="67" t="s">
        <v>24</v>
      </c>
      <c r="F318" s="67" t="s">
        <v>31</v>
      </c>
      <c r="G318" s="67" t="s">
        <v>118</v>
      </c>
      <c r="H318" s="68">
        <v>41158</v>
      </c>
      <c r="I318" s="68"/>
      <c r="K318" s="70">
        <v>1.5</v>
      </c>
      <c r="L318" s="72">
        <v>6</v>
      </c>
      <c r="M318" s="72"/>
      <c r="N318" s="72">
        <v>4</v>
      </c>
      <c r="O318" s="48" t="s">
        <v>6</v>
      </c>
      <c r="P318" s="72"/>
      <c r="Q318" s="72"/>
      <c r="R318" s="72"/>
      <c r="S318" s="72"/>
      <c r="T318" s="72"/>
      <c r="U318" s="72"/>
      <c r="V318" s="72"/>
      <c r="W318" s="72"/>
      <c r="X318" s="72"/>
      <c r="Y318" s="72"/>
      <c r="Z318" s="72"/>
      <c r="AA318" s="72"/>
      <c r="AB318" s="72"/>
      <c r="AC318" s="72"/>
      <c r="AD318" s="72"/>
      <c r="AE318" s="72"/>
      <c r="AF318" s="72"/>
      <c r="AG318" s="72"/>
      <c r="AH318" s="74"/>
      <c r="AI318" s="72"/>
      <c r="AJ318" s="72"/>
      <c r="AK318" s="72"/>
      <c r="AL318" s="72"/>
    </row>
    <row r="319" spans="1:38">
      <c r="A319" s="65">
        <v>318</v>
      </c>
      <c r="B319" s="145">
        <v>2012</v>
      </c>
      <c r="C319" s="66" t="s">
        <v>135</v>
      </c>
      <c r="D319" s="67" t="s">
        <v>105</v>
      </c>
      <c r="E319" s="67" t="s">
        <v>23</v>
      </c>
      <c r="F319" s="67" t="s">
        <v>33</v>
      </c>
      <c r="G319" s="67" t="s">
        <v>34</v>
      </c>
      <c r="H319" s="68">
        <v>41186</v>
      </c>
      <c r="I319" s="68"/>
      <c r="J319" s="69">
        <v>5</v>
      </c>
      <c r="K319" s="70">
        <v>1.5</v>
      </c>
      <c r="L319" s="72">
        <v>13.78</v>
      </c>
      <c r="M319" s="72"/>
      <c r="N319" s="72">
        <v>9.19</v>
      </c>
      <c r="O319" s="48" t="s">
        <v>80</v>
      </c>
      <c r="P319" s="72"/>
      <c r="Q319" s="72"/>
      <c r="R319" s="72"/>
      <c r="S319" s="72"/>
      <c r="T319" s="72"/>
      <c r="U319" s="72"/>
      <c r="V319" s="72"/>
      <c r="W319" s="72"/>
      <c r="X319" s="72">
        <v>37</v>
      </c>
      <c r="Y319" s="72"/>
      <c r="Z319" s="72"/>
      <c r="AA319" s="72"/>
      <c r="AB319" s="72"/>
      <c r="AC319" s="72">
        <f>N319*X319</f>
        <v>340.03</v>
      </c>
      <c r="AD319" s="72">
        <f>$AC319*0.4089</f>
        <v>139.03826699999999</v>
      </c>
      <c r="AE319" s="72">
        <f>$AC319*0.0263</f>
        <v>8.9427889999999994</v>
      </c>
      <c r="AF319" s="72"/>
      <c r="AG319" s="72"/>
      <c r="AI319" s="72"/>
      <c r="AJ319" s="72"/>
      <c r="AK319" s="72"/>
      <c r="AL319" s="72"/>
    </row>
    <row r="320" spans="1:38">
      <c r="A320" s="65">
        <v>319</v>
      </c>
      <c r="B320" s="145">
        <v>2012</v>
      </c>
      <c r="C320" s="79" t="s">
        <v>136</v>
      </c>
      <c r="D320" s="67" t="s">
        <v>105</v>
      </c>
      <c r="E320" s="67" t="s">
        <v>23</v>
      </c>
      <c r="F320" s="67" t="s">
        <v>27</v>
      </c>
      <c r="G320" s="67" t="s">
        <v>45</v>
      </c>
      <c r="H320" s="68">
        <v>40909</v>
      </c>
      <c r="I320" s="68">
        <v>40916</v>
      </c>
      <c r="K320" s="70">
        <v>3.4</v>
      </c>
      <c r="L320" s="71">
        <f>50/4.9*K320</f>
        <v>34.693877551020407</v>
      </c>
      <c r="M320" s="71"/>
      <c r="N320" s="71">
        <f>L320/K320</f>
        <v>10.204081632653061</v>
      </c>
      <c r="O320" s="48" t="s">
        <v>64</v>
      </c>
      <c r="P320" s="72"/>
      <c r="Q320" s="72"/>
      <c r="R320" s="72"/>
      <c r="S320" s="72"/>
      <c r="T320" s="72"/>
      <c r="U320" s="72"/>
      <c r="V320" s="72"/>
      <c r="W320" s="72"/>
      <c r="X320" s="72"/>
      <c r="Y320" s="72"/>
      <c r="Z320" s="72"/>
      <c r="AA320" s="72"/>
      <c r="AB320" s="72"/>
      <c r="AC320" s="72">
        <f>N320*AG320*AF320</f>
        <v>107.14285714285714</v>
      </c>
      <c r="AD320" s="72">
        <f>$AC320*0.4089</f>
        <v>43.810714285714283</v>
      </c>
      <c r="AE320" s="72">
        <f>$AC320*0.0263</f>
        <v>2.8178571428571426</v>
      </c>
      <c r="AF320" s="72">
        <v>7</v>
      </c>
      <c r="AG320" s="72">
        <v>1.5</v>
      </c>
      <c r="AI320" s="72"/>
      <c r="AJ320" s="72"/>
      <c r="AK320" s="72"/>
      <c r="AL320" s="72"/>
    </row>
    <row r="321" spans="1:38">
      <c r="A321" s="65">
        <v>320</v>
      </c>
      <c r="B321" s="145">
        <v>2012</v>
      </c>
      <c r="C321" s="79" t="s">
        <v>136</v>
      </c>
      <c r="D321" s="67" t="s">
        <v>105</v>
      </c>
      <c r="E321" s="67" t="s">
        <v>15</v>
      </c>
      <c r="F321" s="67" t="s">
        <v>35</v>
      </c>
      <c r="G321" s="67" t="s">
        <v>44</v>
      </c>
      <c r="H321" s="68">
        <v>40924</v>
      </c>
      <c r="I321" s="68">
        <v>40926</v>
      </c>
      <c r="K321" s="70">
        <v>3.4</v>
      </c>
      <c r="L321" s="48">
        <v>69.39</v>
      </c>
      <c r="M321" s="48"/>
      <c r="N321" s="71">
        <f>L321/K321</f>
        <v>20.408823529411766</v>
      </c>
      <c r="O321" s="48" t="s">
        <v>2</v>
      </c>
      <c r="P321" s="72">
        <v>32.07</v>
      </c>
      <c r="Q321" s="72">
        <v>3.6</v>
      </c>
      <c r="R321" s="76" t="s">
        <v>60</v>
      </c>
      <c r="S321" s="72">
        <v>458.62</v>
      </c>
      <c r="T321" s="73">
        <v>14.3</v>
      </c>
      <c r="U321" s="72">
        <f>N321*1000*X321/100</f>
        <v>3410.3144117647062</v>
      </c>
      <c r="V321" s="72">
        <f>S321*U321/1000</f>
        <v>1564.0383955235295</v>
      </c>
      <c r="W321" s="72">
        <f>U321*P321/1000</f>
        <v>109.36878318529413</v>
      </c>
      <c r="X321" s="72">
        <v>16.71</v>
      </c>
      <c r="Y321" s="72">
        <v>27.5</v>
      </c>
      <c r="Z321" s="73">
        <v>46.9</v>
      </c>
      <c r="AA321" s="73">
        <v>173.3</v>
      </c>
      <c r="AB321" s="73">
        <v>16.899999999999999</v>
      </c>
      <c r="AC321" s="72"/>
      <c r="AD321" s="72">
        <f>$N321*1000*$X321*0.01*$S321*0.001</f>
        <v>1564.0383955235295</v>
      </c>
      <c r="AE321" s="72">
        <f>$N321*1000*$X321*0.01*$P321*0.001</f>
        <v>109.36878318529413</v>
      </c>
      <c r="AF321" s="72"/>
      <c r="AG321" s="72"/>
      <c r="AH321" s="74"/>
      <c r="AI321" s="72"/>
      <c r="AJ321" s="72"/>
      <c r="AK321" s="72"/>
      <c r="AL321" s="72"/>
    </row>
    <row r="322" spans="1:38">
      <c r="A322" s="65">
        <v>321</v>
      </c>
      <c r="B322" s="145">
        <v>2012</v>
      </c>
      <c r="C322" s="79" t="s">
        <v>136</v>
      </c>
      <c r="D322" s="67" t="s">
        <v>105</v>
      </c>
      <c r="E322" s="67" t="s">
        <v>22</v>
      </c>
      <c r="F322" s="67" t="s">
        <v>38</v>
      </c>
      <c r="G322" s="67"/>
      <c r="H322" s="68">
        <v>40941</v>
      </c>
      <c r="I322" s="68"/>
      <c r="K322" s="70">
        <v>3.4</v>
      </c>
      <c r="L322" s="48"/>
      <c r="M322" s="48"/>
      <c r="N322" s="71"/>
      <c r="P322" s="72"/>
      <c r="Q322" s="72"/>
      <c r="R322" s="72"/>
      <c r="S322" s="72"/>
      <c r="T322" s="72"/>
      <c r="U322" s="72"/>
      <c r="V322" s="72"/>
      <c r="W322" s="72"/>
      <c r="X322" s="72"/>
      <c r="Y322" s="72"/>
      <c r="Z322" s="72"/>
      <c r="AA322" s="72"/>
      <c r="AB322" s="72"/>
      <c r="AC322" s="72"/>
      <c r="AD322" s="72"/>
      <c r="AE322" s="72"/>
      <c r="AF322" s="72"/>
      <c r="AG322" s="72"/>
      <c r="AH322" s="74"/>
      <c r="AI322" s="72"/>
      <c r="AJ322" s="72"/>
      <c r="AK322" s="72"/>
      <c r="AL322" s="72"/>
    </row>
    <row r="323" spans="1:38">
      <c r="A323" s="65">
        <v>322</v>
      </c>
      <c r="B323" s="145">
        <v>2012</v>
      </c>
      <c r="C323" s="79" t="s">
        <v>136</v>
      </c>
      <c r="D323" s="67" t="s">
        <v>105</v>
      </c>
      <c r="E323" s="67" t="s">
        <v>22</v>
      </c>
      <c r="F323" s="67" t="s">
        <v>28</v>
      </c>
      <c r="G323" s="89" t="s">
        <v>125</v>
      </c>
      <c r="H323" s="68">
        <v>40996</v>
      </c>
      <c r="I323" s="68"/>
      <c r="K323" s="70">
        <v>3.4</v>
      </c>
      <c r="L323" s="48"/>
      <c r="M323" s="48"/>
      <c r="N323" s="72"/>
      <c r="P323" s="72"/>
      <c r="Q323" s="72"/>
      <c r="R323" s="72"/>
      <c r="S323" s="72"/>
      <c r="T323" s="72"/>
      <c r="U323" s="72"/>
      <c r="V323" s="72"/>
      <c r="W323" s="72"/>
      <c r="X323" s="72"/>
      <c r="Y323" s="72"/>
      <c r="Z323" s="72"/>
      <c r="AA323" s="72"/>
      <c r="AB323" s="72"/>
      <c r="AC323" s="72"/>
      <c r="AD323" s="72"/>
      <c r="AE323" s="72"/>
      <c r="AF323" s="72"/>
      <c r="AG323" s="72"/>
      <c r="AH323" s="74"/>
      <c r="AI323" s="72"/>
      <c r="AJ323" s="72"/>
      <c r="AK323" s="72"/>
      <c r="AL323" s="72"/>
    </row>
    <row r="324" spans="1:38">
      <c r="A324" s="65">
        <v>323</v>
      </c>
      <c r="B324" s="145">
        <v>2012</v>
      </c>
      <c r="C324" s="79" t="s">
        <v>136</v>
      </c>
      <c r="D324" s="67" t="s">
        <v>105</v>
      </c>
      <c r="E324" s="67" t="s">
        <v>21</v>
      </c>
      <c r="F324" s="67" t="s">
        <v>39</v>
      </c>
      <c r="G324" s="77" t="s">
        <v>47</v>
      </c>
      <c r="H324" s="68">
        <v>40996</v>
      </c>
      <c r="I324" s="68"/>
      <c r="K324" s="70">
        <v>3.4</v>
      </c>
      <c r="L324" s="72">
        <v>108.8</v>
      </c>
      <c r="M324" s="72"/>
      <c r="N324" s="72">
        <v>31.999999102424198</v>
      </c>
      <c r="O324" s="48" t="s">
        <v>3</v>
      </c>
      <c r="P324" s="72"/>
      <c r="Q324" s="72"/>
      <c r="R324" s="72"/>
      <c r="S324" s="72"/>
      <c r="T324" s="72"/>
      <c r="U324" s="72"/>
      <c r="V324" s="72"/>
      <c r="W324" s="72"/>
      <c r="X324" s="72"/>
      <c r="Y324" s="72"/>
      <c r="Z324" s="72"/>
      <c r="AA324" s="72"/>
      <c r="AB324" s="72"/>
      <c r="AC324" s="72"/>
      <c r="AD324" s="72"/>
      <c r="AE324" s="72"/>
      <c r="AF324" s="72"/>
      <c r="AG324" s="72"/>
      <c r="AH324" s="74"/>
      <c r="AI324" s="72"/>
      <c r="AJ324" s="72"/>
      <c r="AK324" s="72"/>
      <c r="AL324" s="72"/>
    </row>
    <row r="325" spans="1:38">
      <c r="A325" s="65">
        <v>324</v>
      </c>
      <c r="B325" s="145">
        <v>2012</v>
      </c>
      <c r="C325" s="79" t="s">
        <v>136</v>
      </c>
      <c r="D325" s="67" t="s">
        <v>105</v>
      </c>
      <c r="E325" s="67" t="s">
        <v>22</v>
      </c>
      <c r="F325" s="67" t="s">
        <v>40</v>
      </c>
      <c r="G325" s="67"/>
      <c r="H325" s="68">
        <v>40997</v>
      </c>
      <c r="I325" s="68"/>
      <c r="K325" s="70">
        <v>3.4</v>
      </c>
      <c r="L325" s="48"/>
      <c r="M325" s="48"/>
      <c r="N325" s="71"/>
      <c r="P325" s="72"/>
      <c r="Q325" s="72"/>
      <c r="R325" s="72"/>
      <c r="S325" s="72"/>
      <c r="T325" s="72"/>
      <c r="U325" s="72"/>
      <c r="V325" s="72"/>
      <c r="W325" s="72"/>
      <c r="X325" s="72"/>
      <c r="Y325" s="72"/>
      <c r="Z325" s="72"/>
      <c r="AA325" s="72"/>
      <c r="AB325" s="72"/>
      <c r="AC325" s="72"/>
      <c r="AD325" s="72"/>
      <c r="AE325" s="72"/>
      <c r="AF325" s="72"/>
      <c r="AG325" s="72"/>
      <c r="AH325" s="74"/>
      <c r="AI325" s="72"/>
      <c r="AJ325" s="72"/>
      <c r="AK325" s="72"/>
      <c r="AL325" s="72"/>
    </row>
    <row r="326" spans="1:38">
      <c r="A326" s="65">
        <v>325</v>
      </c>
      <c r="B326" s="145">
        <v>2012</v>
      </c>
      <c r="C326" s="79" t="s">
        <v>136</v>
      </c>
      <c r="D326" s="67" t="s">
        <v>105</v>
      </c>
      <c r="E326" s="67" t="s">
        <v>15</v>
      </c>
      <c r="F326" s="67" t="s">
        <v>32</v>
      </c>
      <c r="G326" s="78" t="s">
        <v>19</v>
      </c>
      <c r="H326" s="68">
        <v>41024</v>
      </c>
      <c r="I326" s="68"/>
      <c r="K326" s="70">
        <v>3.4</v>
      </c>
      <c r="L326" s="72">
        <v>153</v>
      </c>
      <c r="M326" s="72"/>
      <c r="N326" s="72">
        <f>L326/K326</f>
        <v>45</v>
      </c>
      <c r="O326" s="48" t="s">
        <v>3</v>
      </c>
      <c r="P326" s="72">
        <v>270</v>
      </c>
      <c r="Q326" s="72">
        <v>135</v>
      </c>
      <c r="R326" s="72">
        <v>135</v>
      </c>
      <c r="S326" s="72">
        <v>0</v>
      </c>
      <c r="T326" s="72">
        <v>0</v>
      </c>
      <c r="U326" s="72">
        <f>N326</f>
        <v>45</v>
      </c>
      <c r="V326" s="72">
        <f>S326*U326/1000</f>
        <v>0</v>
      </c>
      <c r="W326" s="72">
        <f>U326*P326/1000</f>
        <v>12.15</v>
      </c>
      <c r="X326" s="72">
        <v>100</v>
      </c>
      <c r="Y326" s="72">
        <v>27.540000915527344</v>
      </c>
      <c r="Z326" s="72">
        <v>0</v>
      </c>
      <c r="AA326" s="72">
        <v>0</v>
      </c>
      <c r="AB326" s="72">
        <v>0</v>
      </c>
      <c r="AC326" s="72"/>
      <c r="AD326" s="72">
        <f>$N326*1000*$X326*0.01*$S326*0.001</f>
        <v>0</v>
      </c>
      <c r="AE326" s="72">
        <f>$N326*$X326*0.01*$P326*0.001</f>
        <v>12.15</v>
      </c>
      <c r="AF326" s="72"/>
      <c r="AG326" s="72"/>
      <c r="AH326" s="74"/>
      <c r="AI326" s="72"/>
      <c r="AJ326" s="72"/>
      <c r="AK326" s="72"/>
      <c r="AL326" s="72"/>
    </row>
    <row r="327" spans="1:38">
      <c r="A327" s="65">
        <v>326</v>
      </c>
      <c r="B327" s="145">
        <v>2012</v>
      </c>
      <c r="C327" s="79" t="s">
        <v>136</v>
      </c>
      <c r="D327" s="67" t="s">
        <v>105</v>
      </c>
      <c r="E327" s="67" t="s">
        <v>23</v>
      </c>
      <c r="F327" s="67" t="s">
        <v>33</v>
      </c>
      <c r="G327" s="67" t="s">
        <v>34</v>
      </c>
      <c r="H327" s="68">
        <v>41078</v>
      </c>
      <c r="I327" s="68"/>
      <c r="J327" s="69">
        <v>1</v>
      </c>
      <c r="K327" s="70">
        <v>3.4</v>
      </c>
      <c r="L327" s="72">
        <v>45.8</v>
      </c>
      <c r="M327" s="72"/>
      <c r="N327" s="72">
        <v>13.470587857454301</v>
      </c>
      <c r="O327" s="48" t="s">
        <v>80</v>
      </c>
      <c r="P327" s="72"/>
      <c r="Q327" s="72"/>
      <c r="R327" s="72"/>
      <c r="S327" s="72"/>
      <c r="T327" s="72"/>
      <c r="U327" s="72"/>
      <c r="V327" s="72"/>
      <c r="W327" s="72"/>
      <c r="X327" s="72">
        <v>37</v>
      </c>
      <c r="Y327" s="72"/>
      <c r="Z327" s="72"/>
      <c r="AA327" s="72"/>
      <c r="AB327" s="72"/>
      <c r="AC327" s="72">
        <f>N327*X327</f>
        <v>498.41175072580916</v>
      </c>
      <c r="AD327" s="72">
        <f>$AC327*0.4089</f>
        <v>203.80056487178337</v>
      </c>
      <c r="AE327" s="72">
        <f>$AC327*0.0263</f>
        <v>13.10822904408878</v>
      </c>
      <c r="AF327" s="72"/>
      <c r="AG327" s="72"/>
      <c r="AI327" s="72"/>
      <c r="AJ327" s="72"/>
      <c r="AK327" s="72"/>
      <c r="AL327" s="72"/>
    </row>
    <row r="328" spans="1:38">
      <c r="A328" s="65">
        <v>327</v>
      </c>
      <c r="B328" s="145">
        <v>2012</v>
      </c>
      <c r="C328" s="79" t="s">
        <v>136</v>
      </c>
      <c r="D328" s="67" t="s">
        <v>105</v>
      </c>
      <c r="E328" s="67" t="s">
        <v>24</v>
      </c>
      <c r="F328" s="67" t="s">
        <v>37</v>
      </c>
      <c r="G328" s="67" t="s">
        <v>120</v>
      </c>
      <c r="H328" s="68">
        <v>41079</v>
      </c>
      <c r="I328" s="68"/>
      <c r="K328" s="70">
        <v>3.4</v>
      </c>
      <c r="L328" s="72">
        <v>23.8</v>
      </c>
      <c r="M328" s="72"/>
      <c r="N328" s="72">
        <v>6.9999998036552942</v>
      </c>
      <c r="O328" s="48" t="s">
        <v>3</v>
      </c>
      <c r="P328" s="72"/>
      <c r="Q328" s="72"/>
      <c r="R328" s="72"/>
      <c r="S328" s="72"/>
      <c r="T328" s="72"/>
      <c r="U328" s="72"/>
      <c r="V328" s="72"/>
      <c r="W328" s="72"/>
      <c r="X328" s="72"/>
      <c r="Y328" s="72"/>
      <c r="Z328" s="72"/>
      <c r="AA328" s="72"/>
      <c r="AB328" s="72"/>
      <c r="AC328" s="72"/>
      <c r="AD328" s="72"/>
      <c r="AE328" s="72"/>
      <c r="AF328" s="72"/>
      <c r="AG328" s="72"/>
      <c r="AH328" s="74"/>
      <c r="AI328" s="72"/>
      <c r="AJ328" s="72"/>
      <c r="AK328" s="72"/>
      <c r="AL328" s="72"/>
    </row>
    <row r="329" spans="1:38">
      <c r="A329" s="65">
        <v>328</v>
      </c>
      <c r="B329" s="145">
        <v>2012</v>
      </c>
      <c r="C329" s="79" t="s">
        <v>136</v>
      </c>
      <c r="D329" s="67" t="s">
        <v>105</v>
      </c>
      <c r="E329" s="67" t="s">
        <v>15</v>
      </c>
      <c r="F329" s="67" t="s">
        <v>35</v>
      </c>
      <c r="G329" s="67" t="s">
        <v>46</v>
      </c>
      <c r="H329" s="68">
        <v>41086</v>
      </c>
      <c r="I329" s="68"/>
      <c r="K329" s="70">
        <v>3.4</v>
      </c>
      <c r="L329" s="72">
        <v>28.16</v>
      </c>
      <c r="M329" s="72"/>
      <c r="N329" s="72">
        <v>18.773333333333333</v>
      </c>
      <c r="O329" s="48" t="s">
        <v>5</v>
      </c>
      <c r="P329" s="72">
        <v>125.67</v>
      </c>
      <c r="Q329" s="72">
        <v>60.6</v>
      </c>
      <c r="R329" s="76" t="s">
        <v>60</v>
      </c>
      <c r="S329" s="72">
        <v>367.21</v>
      </c>
      <c r="T329" s="73">
        <v>2.92</v>
      </c>
      <c r="U329" s="72">
        <f>N329*1000*X329/100</f>
        <v>290.98666666666662</v>
      </c>
      <c r="V329" s="72">
        <f>S329*U329/1000</f>
        <v>106.85321386666665</v>
      </c>
      <c r="W329" s="72">
        <f>P329*U329/1000</f>
        <v>36.568294399999992</v>
      </c>
      <c r="X329" s="72">
        <v>1.55</v>
      </c>
      <c r="Y329" s="72">
        <v>29.145599365234375</v>
      </c>
      <c r="Z329" s="73">
        <v>20.650667190551758</v>
      </c>
      <c r="AA329" s="73">
        <v>52.565334320068359</v>
      </c>
      <c r="AB329" s="73">
        <v>4.6933331489562988</v>
      </c>
      <c r="AC329" s="72"/>
      <c r="AD329" s="72">
        <f>$N329*1000*$X329*0.01*$S329*0.001</f>
        <v>106.85321386666665</v>
      </c>
      <c r="AE329" s="72">
        <f>$N329*1000*$X329*0.01*$P329*0.001</f>
        <v>36.568294399999992</v>
      </c>
      <c r="AF329" s="72"/>
      <c r="AG329" s="72"/>
      <c r="AH329" s="74"/>
      <c r="AI329" s="72"/>
      <c r="AJ329" s="72"/>
      <c r="AK329" s="72"/>
      <c r="AL329" s="72"/>
    </row>
    <row r="330" spans="1:38">
      <c r="A330" s="65">
        <v>329</v>
      </c>
      <c r="B330" s="145">
        <v>2012</v>
      </c>
      <c r="C330" s="79" t="s">
        <v>136</v>
      </c>
      <c r="D330" s="67" t="s">
        <v>105</v>
      </c>
      <c r="E330" s="67" t="s">
        <v>23</v>
      </c>
      <c r="F330" s="67" t="s">
        <v>33</v>
      </c>
      <c r="G330" s="67" t="s">
        <v>34</v>
      </c>
      <c r="H330" s="68">
        <v>41099</v>
      </c>
      <c r="I330" s="68"/>
      <c r="J330" s="69">
        <v>2</v>
      </c>
      <c r="K330" s="70">
        <v>3.4</v>
      </c>
      <c r="L330" s="72">
        <v>20.82</v>
      </c>
      <c r="M330" s="72"/>
      <c r="N330" s="72">
        <v>6.123529240004336</v>
      </c>
      <c r="O330" s="48" t="s">
        <v>80</v>
      </c>
      <c r="P330" s="72"/>
      <c r="Q330" s="72"/>
      <c r="R330" s="72"/>
      <c r="S330" s="72"/>
      <c r="T330" s="72"/>
      <c r="U330" s="72"/>
      <c r="V330" s="72"/>
      <c r="W330" s="72"/>
      <c r="X330" s="72">
        <v>37</v>
      </c>
      <c r="Y330" s="72"/>
      <c r="Z330" s="72"/>
      <c r="AA330" s="72"/>
      <c r="AB330" s="72"/>
      <c r="AC330" s="72">
        <f>N330*X330</f>
        <v>226.57058188016043</v>
      </c>
      <c r="AD330" s="72">
        <f>$AC330*0.4089</f>
        <v>92.644710930797601</v>
      </c>
      <c r="AE330" s="72">
        <f>$AC330*0.0263</f>
        <v>5.9588063034482195</v>
      </c>
      <c r="AF330" s="72"/>
      <c r="AG330" s="72"/>
      <c r="AI330" s="72"/>
      <c r="AJ330" s="72"/>
      <c r="AK330" s="72"/>
      <c r="AL330" s="72"/>
    </row>
    <row r="331" spans="1:38">
      <c r="A331" s="65">
        <v>330</v>
      </c>
      <c r="B331" s="145">
        <v>2012</v>
      </c>
      <c r="C331" s="79" t="s">
        <v>136</v>
      </c>
      <c r="D331" s="67" t="s">
        <v>105</v>
      </c>
      <c r="E331" s="67" t="s">
        <v>15</v>
      </c>
      <c r="F331" s="67" t="s">
        <v>35</v>
      </c>
      <c r="G331" s="67" t="s">
        <v>46</v>
      </c>
      <c r="H331" s="68">
        <v>41103</v>
      </c>
      <c r="I331" s="68"/>
      <c r="K331" s="70">
        <v>3.4</v>
      </c>
      <c r="L331" s="72">
        <v>28.16</v>
      </c>
      <c r="M331" s="72"/>
      <c r="N331" s="72">
        <v>18.773333333333333</v>
      </c>
      <c r="O331" s="48" t="s">
        <v>5</v>
      </c>
      <c r="P331" s="72">
        <v>119.23</v>
      </c>
      <c r="Q331" s="72">
        <v>54.5</v>
      </c>
      <c r="R331" s="76" t="s">
        <v>60</v>
      </c>
      <c r="S331" s="72">
        <v>371.42</v>
      </c>
      <c r="T331" s="73">
        <v>3.12</v>
      </c>
      <c r="U331" s="72">
        <f>N331*1000*X331/100</f>
        <v>309.76</v>
      </c>
      <c r="V331" s="72">
        <f>S331*U331/1000</f>
        <v>115.0510592</v>
      </c>
      <c r="W331" s="72">
        <f>P331*U331/1000</f>
        <v>36.932684800000004</v>
      </c>
      <c r="X331" s="72">
        <v>1.65</v>
      </c>
      <c r="Y331" s="72">
        <v>29.145599365234375</v>
      </c>
      <c r="Z331" s="73">
        <v>20.650667190551758</v>
      </c>
      <c r="AA331" s="73">
        <v>52.565334320068359</v>
      </c>
      <c r="AB331" s="73">
        <v>4.6933331489562988</v>
      </c>
      <c r="AC331" s="72"/>
      <c r="AD331" s="72">
        <f>$N331*1000*$X331*0.01*$S331*0.001</f>
        <v>115.05105920000001</v>
      </c>
      <c r="AE331" s="72">
        <f>$N331*1000*$X331*0.01*$P331*0.001</f>
        <v>36.932684800000004</v>
      </c>
      <c r="AF331" s="72"/>
      <c r="AG331" s="72"/>
      <c r="AH331" s="74"/>
      <c r="AI331" s="72"/>
      <c r="AJ331" s="72"/>
      <c r="AK331" s="72"/>
      <c r="AL331" s="72"/>
    </row>
    <row r="332" spans="1:38">
      <c r="A332" s="65">
        <v>331</v>
      </c>
      <c r="B332" s="145">
        <v>2012</v>
      </c>
      <c r="C332" s="79" t="s">
        <v>136</v>
      </c>
      <c r="D332" s="67" t="s">
        <v>105</v>
      </c>
      <c r="E332" s="67" t="s">
        <v>24</v>
      </c>
      <c r="F332" s="67" t="s">
        <v>31</v>
      </c>
      <c r="G332" s="75" t="s">
        <v>119</v>
      </c>
      <c r="H332" s="68">
        <v>41107</v>
      </c>
      <c r="I332" s="68"/>
      <c r="K332" s="70">
        <v>3.4</v>
      </c>
      <c r="L332" s="72">
        <v>4</v>
      </c>
      <c r="M332" s="72"/>
      <c r="N332" s="72">
        <v>1.1764705552361838</v>
      </c>
      <c r="O332" s="48" t="s">
        <v>7</v>
      </c>
      <c r="P332" s="72"/>
      <c r="Q332" s="72"/>
      <c r="R332" s="72"/>
      <c r="S332" s="72"/>
      <c r="T332" s="72"/>
      <c r="U332" s="72"/>
      <c r="V332" s="72"/>
      <c r="W332" s="72"/>
      <c r="X332" s="72"/>
      <c r="Y332" s="72"/>
      <c r="Z332" s="72"/>
      <c r="AA332" s="72"/>
      <c r="AB332" s="72"/>
      <c r="AC332" s="72"/>
      <c r="AD332" s="72"/>
      <c r="AE332" s="72"/>
      <c r="AF332" s="72"/>
      <c r="AG332" s="72"/>
      <c r="AH332" s="74"/>
      <c r="AI332" s="72"/>
      <c r="AJ332" s="72"/>
      <c r="AK332" s="72"/>
      <c r="AL332" s="72"/>
    </row>
    <row r="333" spans="1:38">
      <c r="A333" s="65">
        <v>332</v>
      </c>
      <c r="B333" s="145">
        <v>2012</v>
      </c>
      <c r="C333" s="79" t="s">
        <v>136</v>
      </c>
      <c r="D333" s="67" t="s">
        <v>105</v>
      </c>
      <c r="E333" s="67" t="s">
        <v>23</v>
      </c>
      <c r="F333" s="67" t="s">
        <v>33</v>
      </c>
      <c r="G333" s="78" t="s">
        <v>41</v>
      </c>
      <c r="H333" s="68">
        <v>41128</v>
      </c>
      <c r="I333" s="68"/>
      <c r="J333" s="69">
        <v>3</v>
      </c>
      <c r="K333" s="70">
        <v>3.4</v>
      </c>
      <c r="L333" s="72">
        <v>83.27</v>
      </c>
      <c r="M333" s="72"/>
      <c r="N333" s="72">
        <v>24.491175783629252</v>
      </c>
      <c r="O333" s="48" t="s">
        <v>80</v>
      </c>
      <c r="P333" s="72"/>
      <c r="Q333" s="72"/>
      <c r="R333" s="72"/>
      <c r="S333" s="72"/>
      <c r="T333" s="72"/>
      <c r="U333" s="72"/>
      <c r="V333" s="72"/>
      <c r="W333" s="72"/>
      <c r="X333" s="72">
        <v>70</v>
      </c>
      <c r="Y333" s="72"/>
      <c r="Z333" s="72"/>
      <c r="AA333" s="72"/>
      <c r="AB333" s="72"/>
      <c r="AC333" s="72">
        <f>N333*X333</f>
        <v>1714.3823048540476</v>
      </c>
      <c r="AD333" s="72">
        <f>$AC333*0.4089</f>
        <v>701.01092445482004</v>
      </c>
      <c r="AE333" s="72">
        <f>$AC333*0.0263</f>
        <v>45.088254617661448</v>
      </c>
      <c r="AF333" s="72"/>
      <c r="AG333" s="72"/>
      <c r="AI333" s="72"/>
      <c r="AJ333" s="72"/>
      <c r="AK333" s="72"/>
      <c r="AL333" s="72"/>
    </row>
    <row r="334" spans="1:38">
      <c r="A334" s="65">
        <v>333</v>
      </c>
      <c r="B334" s="145">
        <v>2012</v>
      </c>
      <c r="C334" s="79" t="s">
        <v>136</v>
      </c>
      <c r="D334" s="67" t="s">
        <v>105</v>
      </c>
      <c r="E334" s="67" t="s">
        <v>15</v>
      </c>
      <c r="F334" s="67" t="s">
        <v>35</v>
      </c>
      <c r="G334" s="67" t="s">
        <v>46</v>
      </c>
      <c r="H334" s="68">
        <v>41137</v>
      </c>
      <c r="I334" s="68"/>
      <c r="K334" s="70">
        <v>3.4</v>
      </c>
      <c r="L334" s="72">
        <v>29.39</v>
      </c>
      <c r="M334" s="72"/>
      <c r="N334" s="72">
        <v>19.593333333333334</v>
      </c>
      <c r="O334" s="48" t="s">
        <v>5</v>
      </c>
      <c r="P334" s="72">
        <v>68.61</v>
      </c>
      <c r="Q334" s="72">
        <v>38.299999999999997</v>
      </c>
      <c r="R334" s="76" t="s">
        <v>60</v>
      </c>
      <c r="S334" s="72">
        <v>400.78</v>
      </c>
      <c r="T334" s="73">
        <v>5.84</v>
      </c>
      <c r="U334" s="72">
        <f>N334*1000*X334/100</f>
        <v>613.27133333333325</v>
      </c>
      <c r="V334" s="72">
        <f>S334*U334/1000</f>
        <v>245.78688497333329</v>
      </c>
      <c r="W334" s="72">
        <f>P334*U334/1000</f>
        <v>42.076546179999987</v>
      </c>
      <c r="X334" s="72">
        <v>3.13</v>
      </c>
      <c r="Y334" s="72">
        <v>30.418649673461914</v>
      </c>
      <c r="Z334" s="73">
        <v>21.552667617797852</v>
      </c>
      <c r="AA334" s="73">
        <v>54.861331939697266</v>
      </c>
      <c r="AB334" s="73">
        <v>4.8983330726623535</v>
      </c>
      <c r="AC334" s="72"/>
      <c r="AD334" s="72">
        <f>$N334*1000*$X334*0.01*$S334*0.001</f>
        <v>245.78688497333329</v>
      </c>
      <c r="AE334" s="72">
        <f>$N334*1000*$X334*0.01*$P334*0.001</f>
        <v>42.076546179999994</v>
      </c>
      <c r="AF334" s="72"/>
      <c r="AG334" s="72"/>
      <c r="AH334" s="74"/>
      <c r="AI334" s="72"/>
      <c r="AJ334" s="72"/>
      <c r="AK334" s="72"/>
      <c r="AL334" s="72"/>
    </row>
    <row r="335" spans="1:38">
      <c r="A335" s="65">
        <v>334</v>
      </c>
      <c r="B335" s="145">
        <v>2012</v>
      </c>
      <c r="C335" s="79" t="s">
        <v>136</v>
      </c>
      <c r="D335" s="67" t="s">
        <v>105</v>
      </c>
      <c r="E335" s="67" t="s">
        <v>23</v>
      </c>
      <c r="F335" s="67" t="s">
        <v>33</v>
      </c>
      <c r="G335" s="67" t="s">
        <v>34</v>
      </c>
      <c r="H335" s="68">
        <v>41148</v>
      </c>
      <c r="I335" s="68"/>
      <c r="J335" s="69">
        <v>4</v>
      </c>
      <c r="K335" s="70">
        <v>3.4</v>
      </c>
      <c r="L335" s="72">
        <v>67.650000000000006</v>
      </c>
      <c r="M335" s="72"/>
      <c r="N335" s="72">
        <v>19.897058265431959</v>
      </c>
      <c r="O335" s="48" t="s">
        <v>80</v>
      </c>
      <c r="P335" s="72"/>
      <c r="Q335" s="72"/>
      <c r="R335" s="72"/>
      <c r="S335" s="72"/>
      <c r="T335" s="72"/>
      <c r="U335" s="72"/>
      <c r="V335" s="72"/>
      <c r="W335" s="72"/>
      <c r="X335" s="72">
        <v>37</v>
      </c>
      <c r="Y335" s="72"/>
      <c r="Z335" s="72"/>
      <c r="AA335" s="72"/>
      <c r="AB335" s="72"/>
      <c r="AC335" s="72">
        <f>N335*X335</f>
        <v>736.19115582098243</v>
      </c>
      <c r="AD335" s="72">
        <f>$AC335*0.4089</f>
        <v>301.02856361519969</v>
      </c>
      <c r="AE335" s="72">
        <f>$AC335*0.0263</f>
        <v>19.361827398091837</v>
      </c>
      <c r="AF335" s="72"/>
      <c r="AG335" s="72"/>
      <c r="AI335" s="72"/>
      <c r="AJ335" s="72"/>
      <c r="AK335" s="72"/>
      <c r="AL335" s="72"/>
    </row>
    <row r="336" spans="1:38">
      <c r="A336" s="65">
        <v>335</v>
      </c>
      <c r="B336" s="145">
        <v>2012</v>
      </c>
      <c r="C336" s="79" t="s">
        <v>136</v>
      </c>
      <c r="D336" s="67" t="s">
        <v>105</v>
      </c>
      <c r="E336" s="67" t="s">
        <v>15</v>
      </c>
      <c r="F336" s="67" t="s">
        <v>35</v>
      </c>
      <c r="G336" s="67" t="s">
        <v>46</v>
      </c>
      <c r="H336" s="68">
        <v>41157</v>
      </c>
      <c r="I336" s="68"/>
      <c r="K336" s="70">
        <v>3.4</v>
      </c>
      <c r="L336" s="72">
        <v>29.39</v>
      </c>
      <c r="M336" s="72"/>
      <c r="N336" s="72">
        <v>19.593333333333334</v>
      </c>
      <c r="O336" s="48" t="s">
        <v>5</v>
      </c>
      <c r="P336" s="72">
        <v>113.11</v>
      </c>
      <c r="Q336" s="72">
        <v>52.4</v>
      </c>
      <c r="R336" s="76" t="s">
        <v>60</v>
      </c>
      <c r="S336" s="72">
        <v>399.51</v>
      </c>
      <c r="T336" s="73">
        <v>3.53</v>
      </c>
      <c r="U336" s="72">
        <f>N336*1000*X336/100</f>
        <v>493.75199999999995</v>
      </c>
      <c r="V336" s="72">
        <f>S336*U336/1000</f>
        <v>197.25886151999998</v>
      </c>
      <c r="W336" s="72">
        <f>P336*U336/1000</f>
        <v>55.848288719999999</v>
      </c>
      <c r="X336" s="72">
        <v>2.52</v>
      </c>
      <c r="Y336" s="72">
        <v>30.418649673461914</v>
      </c>
      <c r="Z336" s="73">
        <v>21.552667617797852</v>
      </c>
      <c r="AA336" s="73">
        <v>54.861331939697266</v>
      </c>
      <c r="AB336" s="73">
        <v>4.8983330726623535</v>
      </c>
      <c r="AC336" s="72"/>
      <c r="AD336" s="72">
        <f>$N336*1000*$X336*0.01*$S336*0.001</f>
        <v>197.25886152000001</v>
      </c>
      <c r="AE336" s="72">
        <f>$N336*1000*$X336*0.01*$P336*0.001</f>
        <v>55.848288720000006</v>
      </c>
      <c r="AF336" s="72"/>
      <c r="AG336" s="72"/>
      <c r="AH336" s="74"/>
      <c r="AI336" s="72"/>
      <c r="AJ336" s="72"/>
      <c r="AK336" s="72"/>
      <c r="AL336" s="72"/>
    </row>
    <row r="337" spans="1:44" s="80" customFormat="1">
      <c r="A337" s="65">
        <v>336</v>
      </c>
      <c r="B337" s="145">
        <v>2012</v>
      </c>
      <c r="C337" s="79" t="s">
        <v>136</v>
      </c>
      <c r="D337" s="67" t="s">
        <v>105</v>
      </c>
      <c r="E337" s="67" t="s">
        <v>24</v>
      </c>
      <c r="F337" s="67" t="s">
        <v>31</v>
      </c>
      <c r="G337" s="67" t="s">
        <v>118</v>
      </c>
      <c r="H337" s="68">
        <v>41158</v>
      </c>
      <c r="I337" s="68"/>
      <c r="J337" s="69"/>
      <c r="K337" s="70">
        <v>3.4</v>
      </c>
      <c r="L337" s="72">
        <v>6</v>
      </c>
      <c r="M337" s="72"/>
      <c r="N337" s="72">
        <v>4</v>
      </c>
      <c r="O337" s="48" t="s">
        <v>6</v>
      </c>
      <c r="P337" s="72"/>
      <c r="Q337" s="72"/>
      <c r="R337" s="72"/>
      <c r="S337" s="72"/>
      <c r="T337" s="72"/>
      <c r="U337" s="72"/>
      <c r="V337" s="72"/>
      <c r="W337" s="72"/>
      <c r="X337" s="72"/>
      <c r="Y337" s="72"/>
      <c r="Z337" s="72"/>
      <c r="AA337" s="72"/>
      <c r="AB337" s="72"/>
      <c r="AC337" s="72"/>
      <c r="AD337" s="72"/>
      <c r="AE337" s="72"/>
      <c r="AF337" s="72"/>
      <c r="AG337" s="72"/>
      <c r="AH337" s="74"/>
      <c r="AI337" s="72"/>
      <c r="AJ337" s="72"/>
      <c r="AK337" s="72"/>
      <c r="AL337" s="72"/>
      <c r="AM337" s="48"/>
      <c r="AN337" s="48"/>
      <c r="AO337" s="48"/>
      <c r="AP337" s="48"/>
      <c r="AQ337" s="48"/>
      <c r="AR337" s="48"/>
    </row>
    <row r="338" spans="1:44" s="80" customFormat="1">
      <c r="A338" s="65">
        <v>337</v>
      </c>
      <c r="B338" s="145">
        <v>2012</v>
      </c>
      <c r="C338" s="79" t="s">
        <v>136</v>
      </c>
      <c r="D338" s="67" t="s">
        <v>105</v>
      </c>
      <c r="E338" s="67" t="s">
        <v>23</v>
      </c>
      <c r="F338" s="67" t="s">
        <v>33</v>
      </c>
      <c r="G338" s="67" t="s">
        <v>34</v>
      </c>
      <c r="H338" s="68">
        <v>41186</v>
      </c>
      <c r="I338" s="68"/>
      <c r="J338" s="69">
        <v>5</v>
      </c>
      <c r="K338" s="70">
        <v>3.4</v>
      </c>
      <c r="L338" s="72">
        <v>31.219999999999995</v>
      </c>
      <c r="M338" s="72"/>
      <c r="N338" s="72">
        <v>9.1823526836184133</v>
      </c>
      <c r="O338" s="48" t="s">
        <v>80</v>
      </c>
      <c r="P338" s="72"/>
      <c r="Q338" s="72"/>
      <c r="R338" s="72"/>
      <c r="S338" s="72"/>
      <c r="T338" s="72"/>
      <c r="U338" s="72"/>
      <c r="V338" s="72"/>
      <c r="W338" s="72"/>
      <c r="X338" s="72">
        <v>37</v>
      </c>
      <c r="Y338" s="72"/>
      <c r="Z338" s="72"/>
      <c r="AA338" s="72"/>
      <c r="AB338" s="72"/>
      <c r="AC338" s="72">
        <f>N338*X338</f>
        <v>339.74704929388128</v>
      </c>
      <c r="AD338" s="72">
        <f>$AC338*0.4089</f>
        <v>138.92256845626804</v>
      </c>
      <c r="AE338" s="72">
        <f>$AC338*0.0263</f>
        <v>8.9353473964290782</v>
      </c>
      <c r="AF338" s="72"/>
      <c r="AG338" s="72"/>
      <c r="AH338" s="73"/>
      <c r="AI338" s="72"/>
      <c r="AJ338" s="72"/>
      <c r="AK338" s="72"/>
      <c r="AL338" s="72"/>
      <c r="AM338" s="48"/>
      <c r="AN338" s="48"/>
      <c r="AO338" s="48"/>
      <c r="AP338" s="48"/>
      <c r="AQ338" s="48"/>
      <c r="AR338" s="48"/>
    </row>
    <row r="339" spans="1:44" s="80" customFormat="1">
      <c r="A339" s="65">
        <v>338</v>
      </c>
      <c r="B339" s="110">
        <v>2013</v>
      </c>
      <c r="C339" s="66" t="s">
        <v>135</v>
      </c>
      <c r="D339" s="67" t="s">
        <v>105</v>
      </c>
      <c r="E339" s="67" t="s">
        <v>15</v>
      </c>
      <c r="F339" s="67" t="s">
        <v>35</v>
      </c>
      <c r="G339" s="67" t="s">
        <v>46</v>
      </c>
      <c r="H339" s="68">
        <v>41340</v>
      </c>
      <c r="I339" s="68"/>
      <c r="J339" s="69"/>
      <c r="K339" s="70">
        <v>1.5</v>
      </c>
      <c r="L339" s="76">
        <v>36.729999999999997</v>
      </c>
      <c r="M339" s="76"/>
      <c r="N339" s="76">
        <v>24.49</v>
      </c>
      <c r="O339" s="48" t="s">
        <v>5</v>
      </c>
      <c r="P339" s="72">
        <v>96.7</v>
      </c>
      <c r="Q339" s="72">
        <v>69.3</v>
      </c>
      <c r="R339" s="72" t="s">
        <v>60</v>
      </c>
      <c r="S339" s="72">
        <v>397.2</v>
      </c>
      <c r="T339" s="73">
        <v>4.1100000000000003</v>
      </c>
      <c r="U339" s="72">
        <f>N339*1000*X339/100</f>
        <v>857.15</v>
      </c>
      <c r="V339" s="72">
        <f>S339*U339/1000</f>
        <v>340.45997999999997</v>
      </c>
      <c r="W339" s="72">
        <f>P339*U339/1000</f>
        <v>82.886404999999996</v>
      </c>
      <c r="X339" s="72">
        <v>3.5</v>
      </c>
      <c r="Y339" s="72">
        <v>38</v>
      </c>
      <c r="Z339" s="73">
        <v>26.9</v>
      </c>
      <c r="AA339" s="73">
        <v>68.599999999999994</v>
      </c>
      <c r="AB339" s="73">
        <v>6.1</v>
      </c>
      <c r="AC339" s="72"/>
      <c r="AD339" s="72">
        <f>$N339*1000*$X339*0.01*$S339*0.001</f>
        <v>340.45997999999997</v>
      </c>
      <c r="AE339" s="72">
        <f>$N339*1000*$X339*0.01*$P339*0.001</f>
        <v>82.886404999999996</v>
      </c>
      <c r="AF339" s="72"/>
      <c r="AG339" s="72"/>
      <c r="AH339" s="74"/>
      <c r="AI339" s="72"/>
      <c r="AJ339" s="72"/>
      <c r="AK339" s="72"/>
      <c r="AL339" s="72"/>
      <c r="AM339" s="48"/>
      <c r="AN339" s="48"/>
      <c r="AO339" s="48"/>
      <c r="AP339" s="48"/>
      <c r="AQ339" s="48"/>
      <c r="AR339" s="48"/>
    </row>
    <row r="340" spans="1:44" s="80" customFormat="1">
      <c r="A340" s="65">
        <v>339</v>
      </c>
      <c r="B340" s="110">
        <v>2013</v>
      </c>
      <c r="C340" s="66" t="s">
        <v>135</v>
      </c>
      <c r="D340" s="67" t="s">
        <v>105</v>
      </c>
      <c r="E340" s="67" t="s">
        <v>23</v>
      </c>
      <c r="F340" s="67" t="s">
        <v>33</v>
      </c>
      <c r="G340" s="67" t="s">
        <v>34</v>
      </c>
      <c r="H340" s="68">
        <v>41431</v>
      </c>
      <c r="I340" s="68"/>
      <c r="J340" s="69">
        <v>1</v>
      </c>
      <c r="K340" s="70">
        <v>1.5</v>
      </c>
      <c r="L340" s="72">
        <v>41.33</v>
      </c>
      <c r="M340" s="72"/>
      <c r="N340" s="72">
        <v>27.553333333333331</v>
      </c>
      <c r="O340" s="48" t="s">
        <v>80</v>
      </c>
      <c r="P340" s="72"/>
      <c r="Q340" s="72"/>
      <c r="R340" s="72"/>
      <c r="S340" s="72"/>
      <c r="T340" s="72"/>
      <c r="U340" s="72"/>
      <c r="V340" s="72"/>
      <c r="W340" s="72"/>
      <c r="X340" s="72">
        <v>37</v>
      </c>
      <c r="Y340" s="72"/>
      <c r="Z340" s="72"/>
      <c r="AA340" s="72"/>
      <c r="AB340" s="72"/>
      <c r="AC340" s="72">
        <f>N340*X340</f>
        <v>1019.4733333333332</v>
      </c>
      <c r="AD340" s="72">
        <f>$AC340*0.4089</f>
        <v>416.86264599999993</v>
      </c>
      <c r="AE340" s="72">
        <f>$AC340*0.0263</f>
        <v>26.812148666666666</v>
      </c>
      <c r="AF340" s="72"/>
      <c r="AG340" s="72"/>
      <c r="AH340" s="159"/>
      <c r="AI340" s="72"/>
      <c r="AJ340" s="72"/>
      <c r="AK340" s="72"/>
      <c r="AL340" s="72"/>
      <c r="AM340" s="48"/>
      <c r="AN340" s="48"/>
      <c r="AO340" s="48"/>
      <c r="AP340" s="48"/>
      <c r="AQ340" s="48"/>
      <c r="AR340" s="48"/>
    </row>
    <row r="341" spans="1:44" s="80" customFormat="1">
      <c r="A341" s="65">
        <v>340</v>
      </c>
      <c r="B341" s="110">
        <v>2013</v>
      </c>
      <c r="C341" s="66" t="s">
        <v>135</v>
      </c>
      <c r="D341" s="67" t="s">
        <v>105</v>
      </c>
      <c r="E341" s="67" t="s">
        <v>23</v>
      </c>
      <c r="F341" s="67" t="s">
        <v>33</v>
      </c>
      <c r="G341" s="67" t="s">
        <v>43</v>
      </c>
      <c r="H341" s="68">
        <v>41432</v>
      </c>
      <c r="I341" s="68"/>
      <c r="J341" s="69">
        <v>1</v>
      </c>
      <c r="K341" s="70">
        <v>1.5</v>
      </c>
      <c r="L341" s="72">
        <v>84</v>
      </c>
      <c r="M341" s="72"/>
      <c r="N341" s="72">
        <v>56</v>
      </c>
      <c r="O341" s="48" t="s">
        <v>80</v>
      </c>
      <c r="P341" s="72"/>
      <c r="Q341" s="72"/>
      <c r="R341" s="72"/>
      <c r="S341" s="72"/>
      <c r="T341" s="72"/>
      <c r="U341" s="72"/>
      <c r="V341" s="72"/>
      <c r="W341" s="72"/>
      <c r="X341" s="72">
        <v>86</v>
      </c>
      <c r="Y341" s="72"/>
      <c r="Z341" s="72"/>
      <c r="AA341" s="72"/>
      <c r="AB341" s="72"/>
      <c r="AC341" s="72">
        <f>N341*X341</f>
        <v>4816</v>
      </c>
      <c r="AD341" s="72">
        <f>$AC341*0.4089</f>
        <v>1969.2623999999998</v>
      </c>
      <c r="AE341" s="72">
        <f>$AC341*0.0263</f>
        <v>126.66080000000001</v>
      </c>
      <c r="AF341" s="72"/>
      <c r="AG341" s="72"/>
      <c r="AH341" s="160">
        <v>1614.0079617774763</v>
      </c>
      <c r="AI341" s="72"/>
      <c r="AJ341" s="72"/>
      <c r="AK341" s="91">
        <f>$AH341*0.4089</f>
        <v>659.96785557081</v>
      </c>
      <c r="AL341" s="72">
        <f>AH341*0.0263</f>
        <v>42.448409394747628</v>
      </c>
      <c r="AM341" s="48"/>
      <c r="AN341" s="48"/>
      <c r="AO341" s="48"/>
      <c r="AP341" s="48"/>
      <c r="AQ341" s="48"/>
      <c r="AR341" s="48"/>
    </row>
    <row r="342" spans="1:44" s="80" customFormat="1">
      <c r="A342" s="65">
        <v>341</v>
      </c>
      <c r="B342" s="110">
        <v>2013</v>
      </c>
      <c r="C342" s="66" t="s">
        <v>135</v>
      </c>
      <c r="D342" s="67" t="s">
        <v>105</v>
      </c>
      <c r="E342" s="67" t="s">
        <v>15</v>
      </c>
      <c r="F342" s="67" t="s">
        <v>35</v>
      </c>
      <c r="G342" s="67" t="s">
        <v>46</v>
      </c>
      <c r="H342" s="68">
        <v>41436</v>
      </c>
      <c r="I342" s="68"/>
      <c r="J342" s="69"/>
      <c r="K342" s="70">
        <v>1.5</v>
      </c>
      <c r="L342" s="76">
        <v>30</v>
      </c>
      <c r="M342" s="76"/>
      <c r="N342" s="76">
        <v>20</v>
      </c>
      <c r="O342" s="48" t="s">
        <v>5</v>
      </c>
      <c r="P342" s="72">
        <v>61.2</v>
      </c>
      <c r="Q342" s="72">
        <v>37.6</v>
      </c>
      <c r="R342" s="72">
        <v>0.371</v>
      </c>
      <c r="S342" s="72">
        <v>378.3</v>
      </c>
      <c r="T342" s="73">
        <v>6.18</v>
      </c>
      <c r="U342" s="72">
        <f>N342*1000*X342/100</f>
        <v>340</v>
      </c>
      <c r="V342" s="72">
        <f>S342*U342/1000</f>
        <v>128.62200000000001</v>
      </c>
      <c r="W342" s="72">
        <f>P342*U342/1000</f>
        <v>20.808</v>
      </c>
      <c r="X342" s="72">
        <v>1.7</v>
      </c>
      <c r="Y342" s="72">
        <v>31.1</v>
      </c>
      <c r="Z342" s="73">
        <v>22</v>
      </c>
      <c r="AA342" s="73">
        <v>56</v>
      </c>
      <c r="AB342" s="73">
        <v>5</v>
      </c>
      <c r="AC342" s="72"/>
      <c r="AD342" s="72">
        <f>$N342*1000*$X342*0.01*$S342*0.001</f>
        <v>128.62200000000001</v>
      </c>
      <c r="AE342" s="72">
        <f>$N342*1000*$X342*0.01*$P342*0.001</f>
        <v>20.808</v>
      </c>
      <c r="AF342" s="72"/>
      <c r="AG342" s="72"/>
      <c r="AH342" s="74"/>
      <c r="AI342" s="72"/>
      <c r="AJ342" s="72"/>
      <c r="AK342" s="72"/>
      <c r="AL342" s="72"/>
      <c r="AM342" s="48"/>
      <c r="AN342" s="48"/>
      <c r="AO342" s="48"/>
      <c r="AP342" s="48"/>
      <c r="AQ342" s="48"/>
      <c r="AR342" s="48"/>
    </row>
    <row r="343" spans="1:44" s="80" customFormat="1">
      <c r="A343" s="65">
        <v>342</v>
      </c>
      <c r="B343" s="110">
        <v>2013</v>
      </c>
      <c r="C343" s="66" t="s">
        <v>135</v>
      </c>
      <c r="D343" s="67" t="s">
        <v>105</v>
      </c>
      <c r="E343" s="67" t="s">
        <v>24</v>
      </c>
      <c r="F343" s="67" t="s">
        <v>31</v>
      </c>
      <c r="G343" s="67" t="s">
        <v>119</v>
      </c>
      <c r="H343" s="68">
        <v>41443</v>
      </c>
      <c r="I343" s="68"/>
      <c r="J343" s="69"/>
      <c r="K343" s="70">
        <v>1.5</v>
      </c>
      <c r="L343" s="72">
        <v>3.06</v>
      </c>
      <c r="M343" s="72"/>
      <c r="N343" s="72">
        <v>2.04</v>
      </c>
      <c r="O343" s="48" t="s">
        <v>7</v>
      </c>
      <c r="P343" s="72"/>
      <c r="Q343" s="72"/>
      <c r="R343" s="72"/>
      <c r="S343" s="72"/>
      <c r="T343" s="72"/>
      <c r="U343" s="72"/>
      <c r="V343" s="72"/>
      <c r="W343" s="72"/>
      <c r="X343" s="72"/>
      <c r="Y343" s="72"/>
      <c r="Z343" s="72"/>
      <c r="AA343" s="72"/>
      <c r="AB343" s="72"/>
      <c r="AC343" s="72"/>
      <c r="AD343" s="72"/>
      <c r="AE343" s="72"/>
      <c r="AF343" s="72"/>
      <c r="AG343" s="72"/>
      <c r="AH343" s="90"/>
      <c r="AI343" s="72"/>
      <c r="AJ343" s="72"/>
      <c r="AK343" s="72"/>
      <c r="AL343" s="72"/>
      <c r="AM343" s="48"/>
      <c r="AN343" s="48"/>
      <c r="AO343" s="48"/>
      <c r="AP343" s="48"/>
      <c r="AQ343" s="48"/>
      <c r="AR343" s="48"/>
    </row>
    <row r="344" spans="1:44" s="80" customFormat="1">
      <c r="A344" s="65">
        <v>343</v>
      </c>
      <c r="B344" s="110">
        <v>2013</v>
      </c>
      <c r="C344" s="66" t="s">
        <v>135</v>
      </c>
      <c r="D344" s="67" t="s">
        <v>105</v>
      </c>
      <c r="E344" s="67" t="s">
        <v>23</v>
      </c>
      <c r="F344" s="67" t="s">
        <v>33</v>
      </c>
      <c r="G344" s="78" t="s">
        <v>41</v>
      </c>
      <c r="H344" s="68">
        <v>41466</v>
      </c>
      <c r="I344" s="68"/>
      <c r="J344" s="69">
        <v>2</v>
      </c>
      <c r="K344" s="70">
        <v>1.5</v>
      </c>
      <c r="L344" s="72">
        <v>27.55</v>
      </c>
      <c r="M344" s="72"/>
      <c r="N344" s="72">
        <v>18.366666666666667</v>
      </c>
      <c r="O344" s="48" t="s">
        <v>80</v>
      </c>
      <c r="P344" s="72"/>
      <c r="Q344" s="72"/>
      <c r="R344" s="72"/>
      <c r="S344" s="72"/>
      <c r="T344" s="72"/>
      <c r="U344" s="72"/>
      <c r="V344" s="72"/>
      <c r="W344" s="72"/>
      <c r="X344" s="72">
        <v>70</v>
      </c>
      <c r="Y344" s="72"/>
      <c r="Z344" s="72"/>
      <c r="AA344" s="72"/>
      <c r="AB344" s="72"/>
      <c r="AC344" s="72">
        <f>N344*X344</f>
        <v>1285.6666666666667</v>
      </c>
      <c r="AD344" s="72">
        <f>$AC344*0.4089</f>
        <v>525.70910000000003</v>
      </c>
      <c r="AE344" s="72">
        <f>$AC344*0.0263</f>
        <v>33.813033333333337</v>
      </c>
      <c r="AF344" s="72"/>
      <c r="AG344" s="72"/>
      <c r="AH344" s="160">
        <v>457.74376343834359</v>
      </c>
      <c r="AI344" s="72"/>
      <c r="AJ344" s="72"/>
      <c r="AK344" s="91">
        <f>$AH344*0.4089</f>
        <v>187.17142486993868</v>
      </c>
      <c r="AL344" s="72">
        <f>AH344*0.0263</f>
        <v>12.038660978428437</v>
      </c>
      <c r="AM344" s="48"/>
      <c r="AN344" s="48"/>
      <c r="AO344" s="48"/>
      <c r="AP344" s="48"/>
      <c r="AQ344" s="48"/>
      <c r="AR344" s="48"/>
    </row>
    <row r="345" spans="1:44" s="80" customFormat="1">
      <c r="A345" s="65">
        <v>344</v>
      </c>
      <c r="B345" s="110">
        <v>2013</v>
      </c>
      <c r="C345" s="66" t="s">
        <v>135</v>
      </c>
      <c r="D345" s="67" t="s">
        <v>105</v>
      </c>
      <c r="E345" s="67" t="s">
        <v>15</v>
      </c>
      <c r="F345" s="67" t="s">
        <v>35</v>
      </c>
      <c r="G345" s="75" t="s">
        <v>46</v>
      </c>
      <c r="H345" s="68">
        <v>41474</v>
      </c>
      <c r="I345" s="68"/>
      <c r="J345" s="69"/>
      <c r="K345" s="70">
        <v>1.5</v>
      </c>
      <c r="L345" s="76">
        <v>40.1</v>
      </c>
      <c r="M345" s="76"/>
      <c r="N345" s="76">
        <v>26.73</v>
      </c>
      <c r="O345" s="48" t="s">
        <v>5</v>
      </c>
      <c r="P345" s="72">
        <v>93.6</v>
      </c>
      <c r="Q345" s="72">
        <v>59.4</v>
      </c>
      <c r="R345" s="72">
        <v>1.45</v>
      </c>
      <c r="S345" s="72">
        <v>377.4</v>
      </c>
      <c r="T345" s="73">
        <v>4.03</v>
      </c>
      <c r="U345" s="72">
        <f>N345*1000*X345/100</f>
        <v>641.52</v>
      </c>
      <c r="V345" s="72">
        <f>S345*U345/1000</f>
        <v>242.10964799999999</v>
      </c>
      <c r="W345" s="72">
        <f>P345*U345/1000</f>
        <v>60.046271999999995</v>
      </c>
      <c r="X345" s="72">
        <v>2.4</v>
      </c>
      <c r="Y345" s="72">
        <v>41.5</v>
      </c>
      <c r="Z345" s="73">
        <v>29.4</v>
      </c>
      <c r="AA345" s="73">
        <v>74.900000000000006</v>
      </c>
      <c r="AB345" s="73">
        <v>6.7</v>
      </c>
      <c r="AC345" s="72"/>
      <c r="AD345" s="72">
        <f>$N345*1000*$X345*0.01*$S345*0.001</f>
        <v>242.10964799999999</v>
      </c>
      <c r="AE345" s="72">
        <f>$N345*1000*$X345*0.01*$P345*0.001</f>
        <v>60.046272000000002</v>
      </c>
      <c r="AF345" s="72"/>
      <c r="AG345" s="72"/>
      <c r="AH345" s="74"/>
      <c r="AI345" s="72"/>
      <c r="AJ345" s="72"/>
      <c r="AK345" s="72"/>
      <c r="AL345" s="72"/>
      <c r="AM345" s="48"/>
      <c r="AN345" s="48"/>
      <c r="AO345" s="48"/>
      <c r="AP345" s="48"/>
      <c r="AQ345" s="48"/>
      <c r="AR345" s="48"/>
    </row>
    <row r="346" spans="1:44" s="80" customFormat="1">
      <c r="A346" s="65">
        <v>345</v>
      </c>
      <c r="B346" s="110">
        <v>2013</v>
      </c>
      <c r="C346" s="66" t="s">
        <v>135</v>
      </c>
      <c r="D346" s="67" t="s">
        <v>105</v>
      </c>
      <c r="E346" s="67" t="s">
        <v>23</v>
      </c>
      <c r="F346" s="67" t="s">
        <v>33</v>
      </c>
      <c r="G346" s="67" t="s">
        <v>34</v>
      </c>
      <c r="H346" s="68">
        <v>41507</v>
      </c>
      <c r="I346" s="68"/>
      <c r="J346" s="69">
        <v>3</v>
      </c>
      <c r="K346" s="70">
        <v>1.5</v>
      </c>
      <c r="L346" s="72">
        <v>73.47</v>
      </c>
      <c r="M346" s="72"/>
      <c r="N346" s="72">
        <v>48.98</v>
      </c>
      <c r="O346" s="48" t="s">
        <v>80</v>
      </c>
      <c r="P346" s="72"/>
      <c r="Q346" s="72"/>
      <c r="R346" s="72"/>
      <c r="S346" s="72"/>
      <c r="T346" s="72"/>
      <c r="U346" s="72"/>
      <c r="V346" s="72"/>
      <c r="W346" s="72"/>
      <c r="X346" s="72">
        <v>37</v>
      </c>
      <c r="Y346" s="72"/>
      <c r="Z346" s="72"/>
      <c r="AA346" s="72"/>
      <c r="AB346" s="72"/>
      <c r="AC346" s="72">
        <f>N346*X346</f>
        <v>1812.26</v>
      </c>
      <c r="AD346" s="72">
        <f>$AC346*0.4089</f>
        <v>741.03311399999996</v>
      </c>
      <c r="AE346" s="72">
        <f>$AC346*0.0263</f>
        <v>47.662438000000002</v>
      </c>
      <c r="AF346" s="72"/>
      <c r="AG346" s="72"/>
      <c r="AH346" s="160">
        <v>587.82640359211939</v>
      </c>
      <c r="AI346" s="72"/>
      <c r="AJ346" s="72"/>
      <c r="AK346" s="91">
        <f>$AH346*0.4089</f>
        <v>240.36221642881762</v>
      </c>
      <c r="AL346" s="72">
        <f>AH346*0.0263</f>
        <v>15.45983441447274</v>
      </c>
      <c r="AM346" s="48"/>
      <c r="AN346" s="48"/>
      <c r="AO346" s="48"/>
      <c r="AP346" s="48"/>
      <c r="AQ346" s="48"/>
      <c r="AR346" s="48"/>
    </row>
    <row r="347" spans="1:44" s="80" customFormat="1">
      <c r="A347" s="65">
        <v>346</v>
      </c>
      <c r="B347" s="110">
        <v>2013</v>
      </c>
      <c r="C347" s="66" t="s">
        <v>135</v>
      </c>
      <c r="D347" s="67" t="s">
        <v>105</v>
      </c>
      <c r="E347" s="67" t="s">
        <v>15</v>
      </c>
      <c r="F347" s="67" t="s">
        <v>35</v>
      </c>
      <c r="G347" s="67" t="s">
        <v>46</v>
      </c>
      <c r="H347" s="68">
        <v>41513</v>
      </c>
      <c r="I347" s="68"/>
      <c r="J347" s="69"/>
      <c r="K347" s="70">
        <v>1.5</v>
      </c>
      <c r="L347" s="76">
        <v>43.47</v>
      </c>
      <c r="M347" s="76"/>
      <c r="N347" s="76">
        <v>28.98</v>
      </c>
      <c r="O347" s="48" t="s">
        <v>5</v>
      </c>
      <c r="P347" s="72">
        <v>89.8</v>
      </c>
      <c r="Q347" s="72">
        <v>56.2</v>
      </c>
      <c r="R347" s="76" t="s">
        <v>60</v>
      </c>
      <c r="S347" s="72">
        <v>391.6</v>
      </c>
      <c r="T347" s="73">
        <v>4.3600000000000003</v>
      </c>
      <c r="U347" s="72">
        <f>N347*1000*X347/100</f>
        <v>550.62</v>
      </c>
      <c r="V347" s="72">
        <f>S347*U347/1000</f>
        <v>215.622792</v>
      </c>
      <c r="W347" s="72">
        <f>P347*U347/1000</f>
        <v>49.445675999999999</v>
      </c>
      <c r="X347" s="72">
        <v>1.9</v>
      </c>
      <c r="Y347" s="72">
        <v>45</v>
      </c>
      <c r="Z347" s="73">
        <v>31.9</v>
      </c>
      <c r="AA347" s="73">
        <v>81.099999999999994</v>
      </c>
      <c r="AB347" s="73">
        <v>7.2</v>
      </c>
      <c r="AC347" s="72"/>
      <c r="AD347" s="72">
        <f>$N347*1000*$X347*0.01*$S347*0.001</f>
        <v>215.62279200000003</v>
      </c>
      <c r="AE347" s="72">
        <f>$N347*1000*$X347*0.01*$P347*0.001</f>
        <v>49.445675999999999</v>
      </c>
      <c r="AF347" s="72"/>
      <c r="AG347" s="72"/>
      <c r="AH347" s="74"/>
      <c r="AI347" s="72"/>
      <c r="AJ347" s="72"/>
      <c r="AK347" s="72"/>
      <c r="AL347" s="72"/>
      <c r="AM347" s="48"/>
      <c r="AN347" s="48"/>
      <c r="AO347" s="48"/>
      <c r="AP347" s="48"/>
      <c r="AQ347" s="48"/>
      <c r="AR347" s="48"/>
    </row>
    <row r="348" spans="1:44" s="80" customFormat="1">
      <c r="A348" s="65">
        <v>347</v>
      </c>
      <c r="B348" s="110">
        <v>2013</v>
      </c>
      <c r="C348" s="66" t="s">
        <v>135</v>
      </c>
      <c r="D348" s="67" t="s">
        <v>105</v>
      </c>
      <c r="E348" s="67" t="s">
        <v>23</v>
      </c>
      <c r="F348" s="67" t="s">
        <v>33</v>
      </c>
      <c r="G348" s="67" t="s">
        <v>34</v>
      </c>
      <c r="H348" s="68">
        <v>41566</v>
      </c>
      <c r="I348" s="68"/>
      <c r="J348" s="69">
        <v>4</v>
      </c>
      <c r="K348" s="70">
        <v>1.5</v>
      </c>
      <c r="L348" s="72">
        <v>73.47</v>
      </c>
      <c r="M348" s="72"/>
      <c r="N348" s="72">
        <v>48.98</v>
      </c>
      <c r="O348" s="48" t="s">
        <v>80</v>
      </c>
      <c r="P348" s="72"/>
      <c r="Q348" s="72"/>
      <c r="R348" s="72"/>
      <c r="S348" s="72"/>
      <c r="T348" s="72"/>
      <c r="U348" s="72"/>
      <c r="V348" s="72"/>
      <c r="W348" s="72"/>
      <c r="X348" s="72">
        <v>37</v>
      </c>
      <c r="Y348" s="72"/>
      <c r="Z348" s="72"/>
      <c r="AA348" s="72"/>
      <c r="AB348" s="72"/>
      <c r="AC348" s="72">
        <f>N348*X348</f>
        <v>1812.26</v>
      </c>
      <c r="AD348" s="72">
        <f>$AC348*0.4089</f>
        <v>741.03311399999996</v>
      </c>
      <c r="AE348" s="72">
        <f>$AC348*0.0263</f>
        <v>47.662438000000002</v>
      </c>
      <c r="AF348" s="72"/>
      <c r="AG348" s="72"/>
      <c r="AH348" s="160">
        <v>587.82640359211939</v>
      </c>
      <c r="AI348" s="72"/>
      <c r="AJ348" s="72"/>
      <c r="AK348" s="72"/>
      <c r="AL348" s="72"/>
      <c r="AM348" s="48"/>
      <c r="AN348" s="48"/>
      <c r="AO348" s="48"/>
      <c r="AP348" s="48"/>
      <c r="AQ348" s="48"/>
      <c r="AR348" s="48"/>
    </row>
    <row r="349" spans="1:44" s="80" customFormat="1">
      <c r="A349" s="65">
        <v>348</v>
      </c>
      <c r="B349" s="110">
        <v>2013</v>
      </c>
      <c r="C349" s="79" t="s">
        <v>136</v>
      </c>
      <c r="D349" s="67" t="s">
        <v>105</v>
      </c>
      <c r="E349" s="67" t="s">
        <v>15</v>
      </c>
      <c r="F349" s="67" t="s">
        <v>35</v>
      </c>
      <c r="G349" s="67" t="s">
        <v>46</v>
      </c>
      <c r="H349" s="68">
        <v>41340</v>
      </c>
      <c r="I349" s="68"/>
      <c r="J349" s="69"/>
      <c r="K349" s="70">
        <v>3.4</v>
      </c>
      <c r="L349" s="72">
        <v>83.27</v>
      </c>
      <c r="M349" s="72"/>
      <c r="N349" s="72">
        <v>24.491175783629252</v>
      </c>
      <c r="O349" s="48" t="s">
        <v>5</v>
      </c>
      <c r="P349" s="72">
        <v>106</v>
      </c>
      <c r="Q349" s="72">
        <v>74.3</v>
      </c>
      <c r="R349" s="76" t="s">
        <v>60</v>
      </c>
      <c r="S349" s="72">
        <v>396.2</v>
      </c>
      <c r="T349" s="73">
        <v>3.72</v>
      </c>
      <c r="U349" s="72">
        <f>N349*1000*X349/100</f>
        <v>808.20880085976535</v>
      </c>
      <c r="V349" s="72">
        <f>S349*U349/1000</f>
        <v>320.21232690063903</v>
      </c>
      <c r="W349" s="72">
        <f>P349*U349/1000</f>
        <v>85.670132891135125</v>
      </c>
      <c r="X349" s="72">
        <v>3.3</v>
      </c>
      <c r="Y349" s="72">
        <v>38.022548675537109</v>
      </c>
      <c r="Z349" s="73">
        <v>26.94029426574707</v>
      </c>
      <c r="AA349" s="73">
        <v>68.575286865234375</v>
      </c>
      <c r="AB349" s="73">
        <v>6.1227936744689941</v>
      </c>
      <c r="AC349" s="72"/>
      <c r="AD349" s="72">
        <f>$N349*1000*$X349*0.01*$S349*0.001</f>
        <v>320.21232690063903</v>
      </c>
      <c r="AE349" s="72">
        <f>$N349*1000*$X349*0.01*$P349*0.001</f>
        <v>85.670132891135125</v>
      </c>
      <c r="AF349" s="72"/>
      <c r="AG349" s="72"/>
      <c r="AH349" s="90"/>
      <c r="AI349" s="72"/>
      <c r="AJ349" s="72"/>
      <c r="AK349" s="72"/>
      <c r="AL349" s="72"/>
      <c r="AM349" s="48"/>
      <c r="AN349" s="48"/>
      <c r="AO349" s="48"/>
      <c r="AP349" s="48"/>
      <c r="AQ349" s="48"/>
      <c r="AR349" s="48"/>
    </row>
    <row r="350" spans="1:44" s="80" customFormat="1">
      <c r="A350" s="65">
        <v>349</v>
      </c>
      <c r="B350" s="110">
        <v>2013</v>
      </c>
      <c r="C350" s="79" t="s">
        <v>136</v>
      </c>
      <c r="D350" s="67" t="s">
        <v>105</v>
      </c>
      <c r="E350" s="67" t="s">
        <v>23</v>
      </c>
      <c r="F350" s="67" t="s">
        <v>33</v>
      </c>
      <c r="G350" s="67" t="s">
        <v>34</v>
      </c>
      <c r="H350" s="68">
        <v>41431</v>
      </c>
      <c r="I350" s="68"/>
      <c r="J350" s="69">
        <v>1</v>
      </c>
      <c r="K350" s="70">
        <v>3.4</v>
      </c>
      <c r="L350" s="72">
        <v>93.67</v>
      </c>
      <c r="M350" s="72"/>
      <c r="N350" s="72">
        <v>27.549999227243333</v>
      </c>
      <c r="O350" s="48" t="s">
        <v>80</v>
      </c>
      <c r="P350" s="72"/>
      <c r="Q350" s="72"/>
      <c r="R350" s="72"/>
      <c r="S350" s="72"/>
      <c r="T350" s="72"/>
      <c r="U350" s="72"/>
      <c r="V350" s="72"/>
      <c r="W350" s="72"/>
      <c r="X350" s="72">
        <v>37</v>
      </c>
      <c r="Y350" s="72"/>
      <c r="Z350" s="72"/>
      <c r="AA350" s="72"/>
      <c r="AB350" s="72"/>
      <c r="AC350" s="72">
        <f>N350*X350</f>
        <v>1019.3499714080033</v>
      </c>
      <c r="AD350" s="72">
        <f>$AC350*0.4089</f>
        <v>416.81220330873253</v>
      </c>
      <c r="AE350" s="72">
        <f>$AC350*0.0263</f>
        <v>26.808904248030487</v>
      </c>
      <c r="AF350" s="72"/>
      <c r="AG350" s="72"/>
      <c r="AH350" s="159"/>
      <c r="AI350" s="72"/>
      <c r="AJ350" s="72"/>
      <c r="AK350" s="72"/>
      <c r="AL350" s="72"/>
      <c r="AM350" s="48"/>
      <c r="AN350" s="48"/>
      <c r="AO350" s="48"/>
      <c r="AP350" s="48"/>
      <c r="AQ350" s="48"/>
      <c r="AR350" s="48"/>
    </row>
    <row r="351" spans="1:44" s="80" customFormat="1">
      <c r="A351" s="65">
        <v>350</v>
      </c>
      <c r="B351" s="110">
        <v>2013</v>
      </c>
      <c r="C351" s="79" t="s">
        <v>136</v>
      </c>
      <c r="D351" s="67" t="s">
        <v>105</v>
      </c>
      <c r="E351" s="67" t="s">
        <v>23</v>
      </c>
      <c r="F351" s="67" t="s">
        <v>33</v>
      </c>
      <c r="G351" s="67" t="s">
        <v>43</v>
      </c>
      <c r="H351" s="68">
        <v>41432</v>
      </c>
      <c r="I351" s="68"/>
      <c r="J351" s="69">
        <v>1</v>
      </c>
      <c r="K351" s="70">
        <v>3.4</v>
      </c>
      <c r="L351" s="72">
        <f>75+93</f>
        <v>168</v>
      </c>
      <c r="M351" s="72"/>
      <c r="N351" s="72">
        <f>L351/K351</f>
        <v>49.411764705882355</v>
      </c>
      <c r="O351" s="48" t="s">
        <v>80</v>
      </c>
      <c r="P351" s="72"/>
      <c r="Q351" s="72"/>
      <c r="R351" s="72"/>
      <c r="S351" s="72"/>
      <c r="T351" s="72"/>
      <c r="U351" s="72"/>
      <c r="V351" s="72"/>
      <c r="W351" s="72"/>
      <c r="X351" s="72">
        <v>86</v>
      </c>
      <c r="Y351" s="72"/>
      <c r="Z351" s="72"/>
      <c r="AA351" s="72"/>
      <c r="AB351" s="72"/>
      <c r="AC351" s="72">
        <f>N351*X351</f>
        <v>4249.4117647058829</v>
      </c>
      <c r="AD351" s="72">
        <f>$AC351*0.4089</f>
        <v>1737.5844705882355</v>
      </c>
      <c r="AE351" s="72">
        <f>$AC351*0.0263</f>
        <v>111.75952941176472</v>
      </c>
      <c r="AF351" s="72"/>
      <c r="AG351" s="72"/>
      <c r="AH351" s="160">
        <v>1389.252887919615</v>
      </c>
      <c r="AI351" s="72"/>
      <c r="AJ351" s="72"/>
      <c r="AK351" s="91">
        <f>$AH351*0.4089</f>
        <v>568.06550587033053</v>
      </c>
      <c r="AL351" s="72">
        <f>$AH351*0.0263</f>
        <v>36.537350952285877</v>
      </c>
      <c r="AM351" s="48"/>
      <c r="AN351" s="48"/>
      <c r="AO351" s="48"/>
      <c r="AP351" s="48"/>
      <c r="AQ351" s="48"/>
      <c r="AR351" s="48"/>
    </row>
    <row r="352" spans="1:44" s="80" customFormat="1">
      <c r="A352" s="65">
        <v>351</v>
      </c>
      <c r="B352" s="110">
        <v>2013</v>
      </c>
      <c r="C352" s="79" t="s">
        <v>136</v>
      </c>
      <c r="D352" s="67" t="s">
        <v>105</v>
      </c>
      <c r="E352" s="67" t="s">
        <v>15</v>
      </c>
      <c r="F352" s="67" t="s">
        <v>35</v>
      </c>
      <c r="G352" s="67" t="s">
        <v>46</v>
      </c>
      <c r="H352" s="68">
        <v>41436</v>
      </c>
      <c r="I352" s="68"/>
      <c r="J352" s="69"/>
      <c r="K352" s="70">
        <v>3.4</v>
      </c>
      <c r="L352" s="72">
        <v>68</v>
      </c>
      <c r="M352" s="72"/>
      <c r="N352" s="72">
        <v>19.999999439015124</v>
      </c>
      <c r="O352" s="48" t="s">
        <v>5</v>
      </c>
      <c r="P352" s="72">
        <v>62.9</v>
      </c>
      <c r="Q352" s="72">
        <v>37.700000000000003</v>
      </c>
      <c r="R352" s="76" t="s">
        <v>60</v>
      </c>
      <c r="S352" s="72">
        <v>390.9</v>
      </c>
      <c r="T352" s="73">
        <v>6.21</v>
      </c>
      <c r="U352" s="72">
        <f>N352*1000*X352/100</f>
        <v>399.99998878030243</v>
      </c>
      <c r="V352" s="72">
        <f>S352*U352/1000</f>
        <v>156.35999561422022</v>
      </c>
      <c r="W352" s="72">
        <f>P352*U352/1000</f>
        <v>25.159999294281025</v>
      </c>
      <c r="X352" s="72">
        <v>2</v>
      </c>
      <c r="Y352" s="72">
        <v>31.049999237060547</v>
      </c>
      <c r="Z352" s="73">
        <v>22</v>
      </c>
      <c r="AA352" s="73">
        <v>55.999996185302734</v>
      </c>
      <c r="AB352" s="73">
        <v>5</v>
      </c>
      <c r="AC352" s="72"/>
      <c r="AD352" s="72">
        <f>$N352*1000*$X352*0.01*$S352*0.001</f>
        <v>156.35999561422022</v>
      </c>
      <c r="AE352" s="72">
        <f>$N352*1000*$X352*0.01*$P352*0.001</f>
        <v>25.159999294281025</v>
      </c>
      <c r="AF352" s="72"/>
      <c r="AG352" s="72"/>
      <c r="AH352" s="90"/>
      <c r="AI352" s="72"/>
      <c r="AJ352" s="72"/>
      <c r="AK352" s="72"/>
      <c r="AL352" s="72"/>
      <c r="AM352" s="48"/>
      <c r="AN352" s="48"/>
      <c r="AO352" s="48"/>
      <c r="AP352" s="48"/>
      <c r="AQ352" s="48"/>
      <c r="AR352" s="48"/>
    </row>
    <row r="353" spans="1:38">
      <c r="A353" s="65">
        <v>352</v>
      </c>
      <c r="B353" s="110">
        <v>2013</v>
      </c>
      <c r="C353" s="79" t="s">
        <v>136</v>
      </c>
      <c r="D353" s="67" t="s">
        <v>105</v>
      </c>
      <c r="E353" s="67" t="s">
        <v>24</v>
      </c>
      <c r="F353" s="67" t="s">
        <v>31</v>
      </c>
      <c r="G353" s="67" t="s">
        <v>119</v>
      </c>
      <c r="H353" s="68">
        <v>41443</v>
      </c>
      <c r="I353" s="68"/>
      <c r="K353" s="70">
        <v>3.4</v>
      </c>
      <c r="L353" s="72">
        <v>6.94</v>
      </c>
      <c r="M353" s="72"/>
      <c r="N353" s="72">
        <v>2.04</v>
      </c>
      <c r="O353" s="48" t="s">
        <v>7</v>
      </c>
      <c r="P353" s="72"/>
      <c r="Q353" s="72"/>
      <c r="R353" s="72"/>
      <c r="S353" s="72"/>
      <c r="T353" s="72"/>
      <c r="U353" s="72"/>
      <c r="V353" s="72"/>
      <c r="W353" s="72"/>
      <c r="X353" s="72"/>
      <c r="Y353" s="72"/>
      <c r="Z353" s="72"/>
      <c r="AA353" s="72"/>
      <c r="AB353" s="72"/>
      <c r="AC353" s="92"/>
      <c r="AD353" s="72"/>
      <c r="AE353" s="72"/>
      <c r="AF353" s="72"/>
      <c r="AG353" s="92"/>
      <c r="AH353" s="93"/>
      <c r="AI353" s="72"/>
      <c r="AJ353" s="72"/>
      <c r="AK353" s="92"/>
      <c r="AL353" s="92"/>
    </row>
    <row r="354" spans="1:38">
      <c r="A354" s="65">
        <v>353</v>
      </c>
      <c r="B354" s="110">
        <v>2013</v>
      </c>
      <c r="C354" s="79" t="s">
        <v>136</v>
      </c>
      <c r="D354" s="67" t="s">
        <v>105</v>
      </c>
      <c r="E354" s="67" t="s">
        <v>23</v>
      </c>
      <c r="F354" s="67" t="s">
        <v>33</v>
      </c>
      <c r="G354" s="78" t="s">
        <v>41</v>
      </c>
      <c r="H354" s="68">
        <v>41466</v>
      </c>
      <c r="I354" s="68"/>
      <c r="J354" s="69">
        <v>2</v>
      </c>
      <c r="K354" s="70">
        <v>3.4</v>
      </c>
      <c r="L354" s="72">
        <v>62.45</v>
      </c>
      <c r="M354" s="72"/>
      <c r="N354" s="72">
        <v>18.367646543624918</v>
      </c>
      <c r="O354" s="48" t="s">
        <v>80</v>
      </c>
      <c r="P354" s="72"/>
      <c r="Q354" s="72"/>
      <c r="R354" s="72"/>
      <c r="S354" s="72"/>
      <c r="T354" s="72"/>
      <c r="U354" s="72"/>
      <c r="V354" s="72"/>
      <c r="W354" s="72"/>
      <c r="X354" s="72">
        <v>70</v>
      </c>
      <c r="Y354" s="72"/>
      <c r="Z354" s="72"/>
      <c r="AA354" s="72"/>
      <c r="AB354" s="72"/>
      <c r="AC354" s="72">
        <f>N354*X354</f>
        <v>1285.7352580537442</v>
      </c>
      <c r="AD354" s="72">
        <f>$AC354*0.4089</f>
        <v>525.73714701817596</v>
      </c>
      <c r="AE354" s="72">
        <f>$AC354*0.0263</f>
        <v>33.814837286813471</v>
      </c>
      <c r="AF354" s="72"/>
      <c r="AG354" s="72"/>
      <c r="AH354" s="160">
        <v>525.30326839259658</v>
      </c>
      <c r="AI354" s="72"/>
      <c r="AJ354" s="72"/>
      <c r="AK354" s="91">
        <f>$AH354*0.4089</f>
        <v>214.79650644573275</v>
      </c>
      <c r="AL354" s="72">
        <f>$AH354*0.0263</f>
        <v>13.81547595872529</v>
      </c>
    </row>
    <row r="355" spans="1:38">
      <c r="A355" s="65">
        <v>354</v>
      </c>
      <c r="B355" s="110">
        <v>2013</v>
      </c>
      <c r="C355" s="79" t="s">
        <v>136</v>
      </c>
      <c r="D355" s="67" t="s">
        <v>105</v>
      </c>
      <c r="E355" s="67" t="s">
        <v>15</v>
      </c>
      <c r="F355" s="67" t="s">
        <v>35</v>
      </c>
      <c r="G355" s="67" t="s">
        <v>46</v>
      </c>
      <c r="H355" s="68">
        <v>41474</v>
      </c>
      <c r="I355" s="68"/>
      <c r="K355" s="70">
        <v>3.4</v>
      </c>
      <c r="L355" s="72">
        <v>90.9</v>
      </c>
      <c r="M355" s="72"/>
      <c r="N355" s="72">
        <v>26.735293367742273</v>
      </c>
      <c r="O355" s="48" t="s">
        <v>5</v>
      </c>
      <c r="P355" s="72">
        <v>105</v>
      </c>
      <c r="Q355" s="72">
        <v>59</v>
      </c>
      <c r="R355" s="48">
        <v>3.61</v>
      </c>
      <c r="S355" s="72">
        <v>401.8</v>
      </c>
      <c r="T355" s="73">
        <v>3.83</v>
      </c>
      <c r="U355" s="72">
        <f>N355*1000*X355/100</f>
        <v>748.58821429678358</v>
      </c>
      <c r="V355" s="72">
        <f>S355*U355/1000</f>
        <v>300.78274450444769</v>
      </c>
      <c r="W355" s="72">
        <f>P355*U355/1000</f>
        <v>78.60176250116227</v>
      </c>
      <c r="X355" s="72">
        <v>2.8</v>
      </c>
      <c r="Y355" s="72">
        <v>41.506542205810547</v>
      </c>
      <c r="Z355" s="73">
        <v>29.408824920654297</v>
      </c>
      <c r="AA355" s="73">
        <v>74.858818054199219</v>
      </c>
      <c r="AB355" s="73">
        <v>6.6838235855102539</v>
      </c>
      <c r="AC355" s="72"/>
      <c r="AD355" s="72">
        <f>$N355*1000*$X355*0.01*$S355*0.001</f>
        <v>300.78274450444769</v>
      </c>
      <c r="AE355" s="72">
        <f>$N355*1000*$X355*0.01*$P355*0.001</f>
        <v>78.60176250116227</v>
      </c>
      <c r="AF355" s="72"/>
      <c r="AG355" s="72"/>
      <c r="AH355" s="90"/>
      <c r="AI355" s="72"/>
      <c r="AJ355" s="72"/>
      <c r="AK355" s="72"/>
      <c r="AL355" s="72"/>
    </row>
    <row r="356" spans="1:38">
      <c r="A356" s="65">
        <v>355</v>
      </c>
      <c r="B356" s="110">
        <v>2013</v>
      </c>
      <c r="C356" s="79" t="s">
        <v>136</v>
      </c>
      <c r="D356" s="67" t="s">
        <v>105</v>
      </c>
      <c r="E356" s="67" t="s">
        <v>23</v>
      </c>
      <c r="F356" s="67" t="s">
        <v>33</v>
      </c>
      <c r="G356" s="75" t="s">
        <v>34</v>
      </c>
      <c r="H356" s="68">
        <v>41507</v>
      </c>
      <c r="I356" s="68"/>
      <c r="J356" s="69">
        <v>3</v>
      </c>
      <c r="K356" s="70">
        <v>3.4</v>
      </c>
      <c r="L356" s="72">
        <v>166.53</v>
      </c>
      <c r="M356" s="72"/>
      <c r="N356" s="72">
        <v>48.979410390870413</v>
      </c>
      <c r="O356" s="48" t="s">
        <v>80</v>
      </c>
      <c r="P356" s="72"/>
      <c r="Q356" s="72"/>
      <c r="R356" s="72"/>
      <c r="S356" s="72"/>
      <c r="T356" s="72"/>
      <c r="U356" s="72"/>
      <c r="V356" s="72"/>
      <c r="W356" s="72"/>
      <c r="X356" s="72">
        <v>37</v>
      </c>
      <c r="Y356" s="72"/>
      <c r="Z356" s="72"/>
      <c r="AA356" s="72"/>
      <c r="AB356" s="72"/>
      <c r="AC356" s="72">
        <f>N356*X356</f>
        <v>1812.2381844622053</v>
      </c>
      <c r="AD356" s="72">
        <f>$AC356*0.4089</f>
        <v>741.02419362659566</v>
      </c>
      <c r="AE356" s="72">
        <f>$AC356*0.0263</f>
        <v>47.661864251356</v>
      </c>
      <c r="AF356" s="72"/>
      <c r="AG356" s="72"/>
      <c r="AH356" s="160">
        <v>601.06809485736505</v>
      </c>
      <c r="AI356" s="72"/>
      <c r="AJ356" s="72"/>
      <c r="AK356" s="91">
        <f>$AH356*0.4089</f>
        <v>245.77674398717656</v>
      </c>
      <c r="AL356" s="72">
        <f>$AH356*0.0263</f>
        <v>15.808090894748702</v>
      </c>
    </row>
    <row r="357" spans="1:38">
      <c r="A357" s="65">
        <v>356</v>
      </c>
      <c r="B357" s="110">
        <v>2013</v>
      </c>
      <c r="C357" s="79" t="s">
        <v>136</v>
      </c>
      <c r="D357" s="67" t="s">
        <v>105</v>
      </c>
      <c r="E357" s="67" t="s">
        <v>15</v>
      </c>
      <c r="F357" s="67" t="s">
        <v>35</v>
      </c>
      <c r="G357" s="67" t="s">
        <v>46</v>
      </c>
      <c r="H357" s="68">
        <v>41513</v>
      </c>
      <c r="I357" s="68"/>
      <c r="K357" s="70">
        <v>3.4</v>
      </c>
      <c r="L357" s="72">
        <v>98.53</v>
      </c>
      <c r="M357" s="72"/>
      <c r="N357" s="72">
        <v>28.979410951855296</v>
      </c>
      <c r="O357" s="48" t="s">
        <v>5</v>
      </c>
      <c r="P357" s="72">
        <v>87.2</v>
      </c>
      <c r="Q357" s="72">
        <v>51.3</v>
      </c>
      <c r="R357" s="76" t="s">
        <v>60</v>
      </c>
      <c r="S357" s="72">
        <v>386</v>
      </c>
      <c r="T357" s="73">
        <v>4.43</v>
      </c>
      <c r="U357" s="72">
        <f>N357*1000*X357/100</f>
        <v>579.588219037106</v>
      </c>
      <c r="V357" s="72">
        <f>S357*U357/1000</f>
        <v>223.72105254832292</v>
      </c>
      <c r="W357" s="72">
        <f>P357*U357/1000</f>
        <v>50.540092700035643</v>
      </c>
      <c r="X357" s="72">
        <v>2</v>
      </c>
      <c r="Y357" s="72">
        <v>44.990531921386719</v>
      </c>
      <c r="Z357" s="73">
        <v>31.877353668212891</v>
      </c>
      <c r="AA357" s="73">
        <v>81.142349243164063</v>
      </c>
      <c r="AB357" s="73">
        <v>7.2448525428771973</v>
      </c>
      <c r="AC357" s="72"/>
      <c r="AD357" s="72">
        <f>$N357*1000*$X357*0.01*$S357*0.001</f>
        <v>223.72105254832292</v>
      </c>
      <c r="AE357" s="72">
        <f>$N357*1000*$X357*0.01*$P357*0.001</f>
        <v>50.54009270003565</v>
      </c>
      <c r="AF357" s="72"/>
      <c r="AG357" s="72"/>
      <c r="AH357" s="90"/>
      <c r="AI357" s="72"/>
      <c r="AJ357" s="72"/>
      <c r="AK357" s="72"/>
      <c r="AL357" s="72"/>
    </row>
    <row r="358" spans="1:38">
      <c r="A358" s="65">
        <v>357</v>
      </c>
      <c r="B358" s="110">
        <v>2013</v>
      </c>
      <c r="C358" s="79" t="s">
        <v>136</v>
      </c>
      <c r="D358" s="67" t="s">
        <v>105</v>
      </c>
      <c r="E358" s="67" t="s">
        <v>23</v>
      </c>
      <c r="F358" s="67" t="s">
        <v>33</v>
      </c>
      <c r="G358" s="67" t="s">
        <v>34</v>
      </c>
      <c r="H358" s="68">
        <v>41566</v>
      </c>
      <c r="I358" s="68"/>
      <c r="J358" s="69">
        <v>4</v>
      </c>
      <c r="K358" s="70">
        <v>3.4</v>
      </c>
      <c r="L358" s="72">
        <v>166.53</v>
      </c>
      <c r="M358" s="72"/>
      <c r="N358" s="72">
        <v>48.979410390870413</v>
      </c>
      <c r="O358" s="48" t="s">
        <v>80</v>
      </c>
      <c r="P358" s="72"/>
      <c r="Q358" s="72"/>
      <c r="R358" s="72"/>
      <c r="S358" s="72"/>
      <c r="T358" s="72"/>
      <c r="U358" s="72"/>
      <c r="V358" s="72"/>
      <c r="W358" s="72"/>
      <c r="X358" s="72">
        <v>37</v>
      </c>
      <c r="Y358" s="72"/>
      <c r="Z358" s="72"/>
      <c r="AA358" s="72"/>
      <c r="AB358" s="72"/>
      <c r="AC358" s="72">
        <f>N358*X358</f>
        <v>1812.2381844622053</v>
      </c>
      <c r="AD358" s="72">
        <f>$AC358*0.4089</f>
        <v>741.02419362659566</v>
      </c>
      <c r="AE358" s="72">
        <f>$AC358*0.0263</f>
        <v>47.661864251356</v>
      </c>
      <c r="AF358" s="72"/>
      <c r="AG358" s="72"/>
      <c r="AH358" s="160">
        <v>601.06809485736505</v>
      </c>
      <c r="AI358" s="72"/>
      <c r="AJ358" s="72"/>
      <c r="AK358" s="72"/>
      <c r="AL358" s="72"/>
    </row>
    <row r="359" spans="1:38">
      <c r="A359" s="65">
        <v>358</v>
      </c>
      <c r="B359" s="110">
        <v>2013</v>
      </c>
      <c r="C359" s="79" t="s">
        <v>136</v>
      </c>
      <c r="D359" s="67" t="s">
        <v>105</v>
      </c>
      <c r="E359" s="67" t="s">
        <v>23</v>
      </c>
      <c r="F359" s="67" t="s">
        <v>27</v>
      </c>
      <c r="G359" s="67" t="s">
        <v>45</v>
      </c>
      <c r="H359" s="68">
        <v>41614</v>
      </c>
      <c r="I359" s="68">
        <v>41615</v>
      </c>
      <c r="K359" s="70">
        <v>3.4</v>
      </c>
      <c r="L359" s="71">
        <v>70</v>
      </c>
      <c r="M359" s="71"/>
      <c r="N359" s="71">
        <f t="shared" ref="N359:N380" si="11">L359/K359</f>
        <v>20.588235294117649</v>
      </c>
      <c r="O359" s="48" t="s">
        <v>64</v>
      </c>
      <c r="P359" s="72"/>
      <c r="Q359" s="72"/>
      <c r="R359" s="72"/>
      <c r="S359" s="72"/>
      <c r="T359" s="72"/>
      <c r="U359" s="72"/>
      <c r="V359" s="72"/>
      <c r="W359" s="72"/>
      <c r="X359" s="72"/>
      <c r="Y359" s="72"/>
      <c r="Z359" s="72"/>
      <c r="AA359" s="72"/>
      <c r="AB359" s="72"/>
      <c r="AC359" s="72">
        <f>N359*AG359*AF359</f>
        <v>30.882352941176471</v>
      </c>
      <c r="AD359" s="72">
        <f>$AC359*0.4089</f>
        <v>12.627794117647058</v>
      </c>
      <c r="AE359" s="72">
        <f>$AC359*0.0263</f>
        <v>0.81220588235294122</v>
      </c>
      <c r="AF359" s="72">
        <v>1</v>
      </c>
      <c r="AG359" s="72">
        <v>1.5</v>
      </c>
      <c r="AH359" s="159"/>
      <c r="AI359" s="72"/>
      <c r="AJ359" s="72"/>
      <c r="AK359" s="72"/>
      <c r="AL359" s="72"/>
    </row>
    <row r="360" spans="1:38">
      <c r="A360" s="65">
        <v>359</v>
      </c>
      <c r="B360" s="148">
        <v>2014</v>
      </c>
      <c r="C360" s="66" t="s">
        <v>135</v>
      </c>
      <c r="D360" s="67" t="s">
        <v>105</v>
      </c>
      <c r="E360" s="67" t="s">
        <v>23</v>
      </c>
      <c r="F360" s="67" t="s">
        <v>27</v>
      </c>
      <c r="G360" s="75" t="s">
        <v>45</v>
      </c>
      <c r="H360" s="68">
        <v>41678</v>
      </c>
      <c r="I360" s="68">
        <v>41685</v>
      </c>
      <c r="K360" s="70">
        <v>2.2000000000000002</v>
      </c>
      <c r="L360" s="72">
        <v>46</v>
      </c>
      <c r="M360" s="72"/>
      <c r="N360" s="72">
        <f t="shared" si="11"/>
        <v>20.909090909090907</v>
      </c>
      <c r="O360" s="48" t="s">
        <v>64</v>
      </c>
      <c r="P360" s="72"/>
      <c r="Q360" s="72"/>
      <c r="R360" s="72"/>
      <c r="S360" s="72"/>
      <c r="T360" s="72"/>
      <c r="U360" s="72"/>
      <c r="V360" s="72"/>
      <c r="W360" s="72"/>
      <c r="X360" s="72"/>
      <c r="Y360" s="72"/>
      <c r="Z360" s="72"/>
      <c r="AA360" s="72"/>
      <c r="AB360" s="72"/>
      <c r="AC360" s="72">
        <f>N360*AG360*AF360</f>
        <v>219.5454545454545</v>
      </c>
      <c r="AD360" s="72">
        <f>$AC360*0.4089</f>
        <v>89.772136363636349</v>
      </c>
      <c r="AE360" s="72">
        <f>$AC360*0.0263</f>
        <v>5.7740454545454538</v>
      </c>
      <c r="AF360" s="72">
        <v>7</v>
      </c>
      <c r="AG360" s="72">
        <v>1.5</v>
      </c>
      <c r="AI360" s="72"/>
      <c r="AJ360" s="72"/>
      <c r="AK360" s="72"/>
      <c r="AL360" s="72"/>
    </row>
    <row r="361" spans="1:38">
      <c r="A361" s="65">
        <v>360</v>
      </c>
      <c r="B361" s="148">
        <v>2014</v>
      </c>
      <c r="C361" s="66" t="s">
        <v>135</v>
      </c>
      <c r="D361" s="67" t="s">
        <v>105</v>
      </c>
      <c r="E361" s="67" t="s">
        <v>15</v>
      </c>
      <c r="F361" s="67" t="s">
        <v>35</v>
      </c>
      <c r="G361" s="75" t="s">
        <v>46</v>
      </c>
      <c r="H361" s="68">
        <v>41710</v>
      </c>
      <c r="I361" s="68"/>
      <c r="K361" s="70">
        <v>2.2000000000000002</v>
      </c>
      <c r="L361" s="76">
        <v>60</v>
      </c>
      <c r="M361" s="76"/>
      <c r="N361" s="76">
        <f t="shared" si="11"/>
        <v>27.27272727272727</v>
      </c>
      <c r="O361" s="48" t="s">
        <v>5</v>
      </c>
      <c r="P361" s="72">
        <v>87.2</v>
      </c>
      <c r="Q361" s="72">
        <v>56.1</v>
      </c>
      <c r="R361" s="76" t="s">
        <v>60</v>
      </c>
      <c r="S361" s="72">
        <v>394.6</v>
      </c>
      <c r="T361" s="73">
        <v>4.53</v>
      </c>
      <c r="U361" s="72">
        <f>N361*1000*X361/100</f>
        <v>763.63636363636351</v>
      </c>
      <c r="V361" s="72">
        <f>S361*U361/1000</f>
        <v>301.33090909090907</v>
      </c>
      <c r="W361" s="72">
        <f>P361*U361/1000</f>
        <v>66.589090909090899</v>
      </c>
      <c r="X361" s="72">
        <v>2.8</v>
      </c>
      <c r="Y361" s="72">
        <v>54.9</v>
      </c>
      <c r="Z361" s="73">
        <v>32.700000000000003</v>
      </c>
      <c r="AA361" s="73">
        <v>76.400000000000006</v>
      </c>
      <c r="AB361" s="73">
        <v>6.8</v>
      </c>
      <c r="AC361" s="94"/>
      <c r="AD361" s="72">
        <f>$N361*1000*$X361*0.01*$S361*0.001</f>
        <v>301.33090909090907</v>
      </c>
      <c r="AE361" s="72">
        <f>$N361*1000*$X361*0.01*$P361*0.001</f>
        <v>66.589090909090899</v>
      </c>
      <c r="AF361" s="72"/>
      <c r="AG361" s="94"/>
      <c r="AH361" s="95"/>
      <c r="AI361" s="72"/>
      <c r="AJ361" s="72"/>
      <c r="AK361" s="94"/>
      <c r="AL361" s="94"/>
    </row>
    <row r="362" spans="1:38">
      <c r="A362" s="65">
        <v>361</v>
      </c>
      <c r="B362" s="148">
        <v>2014</v>
      </c>
      <c r="C362" s="66" t="s">
        <v>135</v>
      </c>
      <c r="D362" s="67" t="s">
        <v>105</v>
      </c>
      <c r="E362" s="67" t="s">
        <v>23</v>
      </c>
      <c r="F362" s="67" t="s">
        <v>27</v>
      </c>
      <c r="G362" s="67" t="s">
        <v>42</v>
      </c>
      <c r="H362" s="68">
        <v>41729</v>
      </c>
      <c r="I362" s="68">
        <v>41744</v>
      </c>
      <c r="J362" s="96">
        <v>1</v>
      </c>
      <c r="K362" s="70">
        <v>2.2000000000000002</v>
      </c>
      <c r="L362" s="72">
        <v>27.4375</v>
      </c>
      <c r="M362" s="72"/>
      <c r="N362" s="72">
        <f t="shared" si="11"/>
        <v>12.471590909090908</v>
      </c>
      <c r="O362" s="48" t="s">
        <v>64</v>
      </c>
      <c r="P362" s="72"/>
      <c r="Q362" s="72"/>
      <c r="R362" s="72"/>
      <c r="S362" s="72"/>
      <c r="T362" s="72"/>
      <c r="U362" s="72"/>
      <c r="V362" s="72"/>
      <c r="W362" s="72"/>
      <c r="X362" s="72"/>
      <c r="Y362" s="72"/>
      <c r="Z362" s="72"/>
      <c r="AA362" s="72"/>
      <c r="AB362" s="72"/>
      <c r="AC362" s="72">
        <f>N362*AG362*AF362</f>
        <v>2244.8863636363635</v>
      </c>
      <c r="AD362" s="72">
        <f>$AC362*0.4089</f>
        <v>917.93403409090899</v>
      </c>
      <c r="AE362" s="72">
        <f>$AC362*0.0263</f>
        <v>59.040511363636362</v>
      </c>
      <c r="AF362" s="72">
        <v>15</v>
      </c>
      <c r="AG362" s="72">
        <v>12</v>
      </c>
      <c r="AI362" s="72"/>
      <c r="AJ362" s="72"/>
      <c r="AK362" s="72"/>
      <c r="AL362" s="72"/>
    </row>
    <row r="363" spans="1:38">
      <c r="A363" s="65">
        <v>362</v>
      </c>
      <c r="B363" s="148">
        <v>2014</v>
      </c>
      <c r="C363" s="66" t="s">
        <v>135</v>
      </c>
      <c r="D363" s="67" t="s">
        <v>105</v>
      </c>
      <c r="E363" s="67" t="s">
        <v>15</v>
      </c>
      <c r="F363" s="67" t="s">
        <v>32</v>
      </c>
      <c r="G363" s="78" t="s">
        <v>19</v>
      </c>
      <c r="H363" s="68">
        <v>41751</v>
      </c>
      <c r="I363" s="68"/>
      <c r="K363" s="70">
        <v>2.2000000000000002</v>
      </c>
      <c r="L363" s="76">
        <v>150</v>
      </c>
      <c r="M363" s="76"/>
      <c r="N363" s="76">
        <f t="shared" si="11"/>
        <v>68.181818181818173</v>
      </c>
      <c r="O363" s="48" t="s">
        <v>3</v>
      </c>
      <c r="P363" s="72">
        <v>270</v>
      </c>
      <c r="Q363" s="72">
        <v>135</v>
      </c>
      <c r="R363" s="72">
        <v>135</v>
      </c>
      <c r="S363" s="72">
        <v>0</v>
      </c>
      <c r="T363" s="72">
        <v>0</v>
      </c>
      <c r="U363" s="72">
        <f>N363</f>
        <v>68.181818181818173</v>
      </c>
      <c r="V363" s="72">
        <f>S363*U363/1000</f>
        <v>0</v>
      </c>
      <c r="W363" s="72">
        <f>U363*P363/1000</f>
        <v>18.409090909090907</v>
      </c>
      <c r="X363" s="72">
        <v>100</v>
      </c>
      <c r="Y363" s="72">
        <v>18.8</v>
      </c>
      <c r="Z363" s="72">
        <v>0</v>
      </c>
      <c r="AA363" s="72">
        <v>0</v>
      </c>
      <c r="AB363" s="72">
        <v>0</v>
      </c>
      <c r="AC363" s="72"/>
      <c r="AD363" s="72">
        <f>$N363*1000*$X363*0.01*$S363*0.001</f>
        <v>0</v>
      </c>
      <c r="AE363" s="72">
        <f>$N363*$X363*0.01*$P363*0.001</f>
        <v>18.40909090909091</v>
      </c>
      <c r="AF363" s="72"/>
      <c r="AG363" s="72"/>
      <c r="AH363" s="74"/>
      <c r="AI363" s="72"/>
      <c r="AJ363" s="72"/>
      <c r="AK363" s="72"/>
      <c r="AL363" s="72"/>
    </row>
    <row r="364" spans="1:38">
      <c r="A364" s="65">
        <v>363</v>
      </c>
      <c r="B364" s="148">
        <v>2014</v>
      </c>
      <c r="C364" s="66" t="s">
        <v>135</v>
      </c>
      <c r="D364" s="67" t="s">
        <v>105</v>
      </c>
      <c r="E364" s="67" t="s">
        <v>23</v>
      </c>
      <c r="F364" s="67" t="s">
        <v>27</v>
      </c>
      <c r="G364" s="67" t="s">
        <v>42</v>
      </c>
      <c r="H364" s="68">
        <v>41771</v>
      </c>
      <c r="I364" s="68">
        <v>41793</v>
      </c>
      <c r="J364" s="96">
        <v>2</v>
      </c>
      <c r="K364" s="70">
        <v>2.2000000000000002</v>
      </c>
      <c r="L364" s="72">
        <f>(17*5+10*17)/(5+17)</f>
        <v>11.590909090909092</v>
      </c>
      <c r="M364" s="72"/>
      <c r="N364" s="72">
        <f t="shared" si="11"/>
        <v>5.2685950413223139</v>
      </c>
      <c r="O364" s="48" t="s">
        <v>64</v>
      </c>
      <c r="P364" s="72"/>
      <c r="Q364" s="72"/>
      <c r="R364" s="72"/>
      <c r="S364" s="72"/>
      <c r="T364" s="72"/>
      <c r="U364" s="72"/>
      <c r="V364" s="72"/>
      <c r="W364" s="72"/>
      <c r="X364" s="72"/>
      <c r="Y364" s="72"/>
      <c r="Z364" s="72"/>
      <c r="AA364" s="72"/>
      <c r="AB364" s="72"/>
      <c r="AC364" s="72">
        <f>N364*AG364*AF364</f>
        <v>1390.909090909091</v>
      </c>
      <c r="AD364" s="72">
        <f>$AC364*0.4089</f>
        <v>568.74272727272728</v>
      </c>
      <c r="AE364" s="72">
        <f>$AC364*AJ364</f>
        <v>16.287590814593123</v>
      </c>
      <c r="AF364" s="72">
        <v>22</v>
      </c>
      <c r="AG364" s="72">
        <v>12</v>
      </c>
      <c r="AI364" s="72">
        <v>0.43014392731574203</v>
      </c>
      <c r="AJ364" s="72">
        <v>1.1710032611798976E-2</v>
      </c>
      <c r="AK364" s="72"/>
      <c r="AL364" s="72"/>
    </row>
    <row r="365" spans="1:38">
      <c r="A365" s="65">
        <v>364</v>
      </c>
      <c r="B365" s="148">
        <v>2014</v>
      </c>
      <c r="C365" s="66" t="s">
        <v>135</v>
      </c>
      <c r="D365" s="67" t="s">
        <v>105</v>
      </c>
      <c r="E365" s="67" t="s">
        <v>15</v>
      </c>
      <c r="F365" s="67" t="s">
        <v>32</v>
      </c>
      <c r="G365" s="78" t="s">
        <v>19</v>
      </c>
      <c r="H365" s="68">
        <v>41795</v>
      </c>
      <c r="I365" s="68"/>
      <c r="K365" s="70">
        <v>2.2000000000000002</v>
      </c>
      <c r="L365" s="76">
        <v>150</v>
      </c>
      <c r="M365" s="76"/>
      <c r="N365" s="76">
        <f t="shared" si="11"/>
        <v>68.181818181818173</v>
      </c>
      <c r="O365" s="48" t="s">
        <v>3</v>
      </c>
      <c r="P365" s="72">
        <v>270</v>
      </c>
      <c r="Q365" s="72">
        <v>135</v>
      </c>
      <c r="R365" s="72">
        <v>135</v>
      </c>
      <c r="S365" s="72">
        <v>0</v>
      </c>
      <c r="T365" s="72">
        <v>0</v>
      </c>
      <c r="U365" s="72">
        <f>N365</f>
        <v>68.181818181818173</v>
      </c>
      <c r="V365" s="72">
        <f>S365*U365/1000</f>
        <v>0</v>
      </c>
      <c r="W365" s="72">
        <f>U365*P365/1000</f>
        <v>18.409090909090907</v>
      </c>
      <c r="X365" s="72">
        <v>100</v>
      </c>
      <c r="Y365" s="72">
        <v>18.8</v>
      </c>
      <c r="Z365" s="72">
        <v>0</v>
      </c>
      <c r="AA365" s="72">
        <v>0</v>
      </c>
      <c r="AB365" s="72">
        <v>0</v>
      </c>
      <c r="AC365" s="72"/>
      <c r="AD365" s="72">
        <f>$N365*1000*$X365*0.01*$S365*0.001</f>
        <v>0</v>
      </c>
      <c r="AE365" s="72">
        <f>$N365*$X365*0.01*$P365*0.001</f>
        <v>18.40909090909091</v>
      </c>
      <c r="AF365" s="72"/>
      <c r="AG365" s="72"/>
      <c r="AH365" s="74"/>
      <c r="AI365" s="72"/>
      <c r="AJ365" s="72"/>
      <c r="AK365" s="72"/>
      <c r="AL365" s="72"/>
    </row>
    <row r="366" spans="1:38">
      <c r="A366" s="65">
        <v>365</v>
      </c>
      <c r="B366" s="148">
        <v>2014</v>
      </c>
      <c r="C366" s="66" t="s">
        <v>135</v>
      </c>
      <c r="D366" s="67" t="s">
        <v>105</v>
      </c>
      <c r="E366" s="67" t="s">
        <v>23</v>
      </c>
      <c r="F366" s="67" t="s">
        <v>33</v>
      </c>
      <c r="G366" s="67" t="s">
        <v>34</v>
      </c>
      <c r="H366" s="68">
        <v>41885</v>
      </c>
      <c r="I366" s="68"/>
      <c r="J366" s="97">
        <v>3</v>
      </c>
      <c r="K366" s="70">
        <v>2.2000000000000002</v>
      </c>
      <c r="L366" s="72">
        <v>168</v>
      </c>
      <c r="M366" s="72"/>
      <c r="N366" s="72">
        <f t="shared" si="11"/>
        <v>76.36363636363636</v>
      </c>
      <c r="O366" s="48" t="s">
        <v>80</v>
      </c>
      <c r="P366" s="72"/>
      <c r="Q366" s="72"/>
      <c r="R366" s="72"/>
      <c r="S366" s="72"/>
      <c r="T366" s="72"/>
      <c r="U366" s="72"/>
      <c r="V366" s="72"/>
      <c r="W366" s="72"/>
      <c r="X366" s="72">
        <v>37</v>
      </c>
      <c r="Y366" s="72"/>
      <c r="Z366" s="72"/>
      <c r="AA366" s="72"/>
      <c r="AB366" s="72"/>
      <c r="AC366" s="72">
        <f>N366*X366</f>
        <v>2825.4545454545455</v>
      </c>
      <c r="AD366" s="72">
        <f>$AC366*AI366</f>
        <v>1233.5917367653472</v>
      </c>
      <c r="AE366" s="72">
        <f>$AC366*AJ366</f>
        <v>41.055887392993526</v>
      </c>
      <c r="AF366" s="72"/>
      <c r="AG366" s="72">
        <v>1.5</v>
      </c>
      <c r="AH366" s="73">
        <v>5303</v>
      </c>
      <c r="AI366" s="72">
        <v>0.4365993920340675</v>
      </c>
      <c r="AJ366" s="72">
        <v>1.4530719476284709E-2</v>
      </c>
      <c r="AK366" s="72">
        <f>$AH366*AI366</f>
        <v>2315.2865759566598</v>
      </c>
      <c r="AL366" s="72">
        <f>$AH366*AJ366</f>
        <v>77.056405382737807</v>
      </c>
    </row>
    <row r="367" spans="1:38">
      <c r="A367" s="65">
        <v>366</v>
      </c>
      <c r="B367" s="148">
        <v>2014</v>
      </c>
      <c r="C367" s="66" t="s">
        <v>135</v>
      </c>
      <c r="D367" s="67" t="s">
        <v>105</v>
      </c>
      <c r="E367" s="67" t="s">
        <v>15</v>
      </c>
      <c r="F367" s="67" t="s">
        <v>35</v>
      </c>
      <c r="G367" s="67" t="s">
        <v>46</v>
      </c>
      <c r="H367" s="68">
        <v>41891</v>
      </c>
      <c r="I367" s="68"/>
      <c r="J367" s="98"/>
      <c r="K367" s="70">
        <v>2.2000000000000002</v>
      </c>
      <c r="L367" s="76">
        <v>62</v>
      </c>
      <c r="M367" s="76"/>
      <c r="N367" s="76">
        <f t="shared" si="11"/>
        <v>28.18181818181818</v>
      </c>
      <c r="O367" s="48" t="s">
        <v>5</v>
      </c>
      <c r="P367" s="72">
        <v>79.8</v>
      </c>
      <c r="Q367" s="72">
        <v>44.9</v>
      </c>
      <c r="R367" s="76" t="s">
        <v>60</v>
      </c>
      <c r="S367" s="72">
        <v>371.3</v>
      </c>
      <c r="T367" s="73">
        <v>4.6500000000000004</v>
      </c>
      <c r="U367" s="72">
        <f>N367*1000*X367/100</f>
        <v>225.45454545454544</v>
      </c>
      <c r="V367" s="72">
        <f>S367*U367/1000</f>
        <v>83.711272727272714</v>
      </c>
      <c r="W367" s="72">
        <f>P367*U367/1000</f>
        <v>17.991272727272726</v>
      </c>
      <c r="X367" s="72">
        <v>0.8</v>
      </c>
      <c r="Y367" s="72">
        <v>56.7</v>
      </c>
      <c r="Z367" s="73">
        <v>33.799999999999997</v>
      </c>
      <c r="AA367" s="73">
        <v>78.900000000000006</v>
      </c>
      <c r="AB367" s="73">
        <v>7</v>
      </c>
      <c r="AC367" s="72"/>
      <c r="AD367" s="72">
        <f>$N367*1000*$X367*0.01*$S367*0.001</f>
        <v>83.711272727272728</v>
      </c>
      <c r="AE367" s="72">
        <f>$N367*1000*$X367*0.01*$P367*0.001</f>
        <v>17.991272727272726</v>
      </c>
      <c r="AF367" s="72"/>
      <c r="AG367" s="72"/>
      <c r="AH367" s="74"/>
      <c r="AI367" s="72"/>
      <c r="AJ367" s="72"/>
      <c r="AK367" s="72"/>
      <c r="AL367" s="72"/>
    </row>
    <row r="368" spans="1:38">
      <c r="A368" s="65">
        <v>367</v>
      </c>
      <c r="B368" s="148">
        <v>2014</v>
      </c>
      <c r="C368" s="66" t="s">
        <v>135</v>
      </c>
      <c r="D368" s="67" t="s">
        <v>105</v>
      </c>
      <c r="E368" s="67" t="s">
        <v>23</v>
      </c>
      <c r="F368" s="67" t="s">
        <v>33</v>
      </c>
      <c r="G368" s="67" t="s">
        <v>34</v>
      </c>
      <c r="H368" s="68">
        <v>41931</v>
      </c>
      <c r="I368" s="68"/>
      <c r="J368" s="97">
        <v>4</v>
      </c>
      <c r="K368" s="70">
        <v>2.2000000000000002</v>
      </c>
      <c r="L368" s="72">
        <v>91.84</v>
      </c>
      <c r="M368" s="72"/>
      <c r="N368" s="72">
        <f t="shared" si="11"/>
        <v>41.745454545454542</v>
      </c>
      <c r="O368" s="48" t="s">
        <v>80</v>
      </c>
      <c r="P368" s="72"/>
      <c r="Q368" s="72"/>
      <c r="R368" s="72"/>
      <c r="S368" s="72"/>
      <c r="T368" s="72"/>
      <c r="U368" s="72"/>
      <c r="V368" s="72"/>
      <c r="W368" s="72"/>
      <c r="X368" s="72">
        <v>37</v>
      </c>
      <c r="Y368" s="72"/>
      <c r="Z368" s="72"/>
      <c r="AA368" s="72"/>
      <c r="AB368" s="72"/>
      <c r="AC368" s="72">
        <f>N368*X368</f>
        <v>1544.5818181818181</v>
      </c>
      <c r="AD368" s="72">
        <f>$AC368*AI368</f>
        <v>662.61033187958685</v>
      </c>
      <c r="AE368" s="72">
        <f>$AC368*AJ368</f>
        <v>36.872745219983912</v>
      </c>
      <c r="AF368" s="72"/>
      <c r="AG368" s="72">
        <v>1.5</v>
      </c>
      <c r="AH368" s="73">
        <v>1985</v>
      </c>
      <c r="AI368" s="72">
        <v>0.42899011504587625</v>
      </c>
      <c r="AJ368" s="72">
        <v>2.3872315979601599E-2</v>
      </c>
      <c r="AK368" s="72">
        <f>$AH368*AI368</f>
        <v>851.54537836606437</v>
      </c>
      <c r="AL368" s="72">
        <f>$AH368*AJ368</f>
        <v>47.386547219509175</v>
      </c>
    </row>
    <row r="369" spans="1:44">
      <c r="A369" s="65">
        <v>368</v>
      </c>
      <c r="B369" s="148">
        <v>2014</v>
      </c>
      <c r="C369" s="66" t="s">
        <v>135</v>
      </c>
      <c r="D369" s="67" t="s">
        <v>105</v>
      </c>
      <c r="E369" s="67" t="s">
        <v>23</v>
      </c>
      <c r="F369" s="67" t="s">
        <v>27</v>
      </c>
      <c r="G369" s="67" t="s">
        <v>45</v>
      </c>
      <c r="H369" s="68">
        <v>41997</v>
      </c>
      <c r="I369" s="68">
        <v>42011</v>
      </c>
      <c r="J369" s="96">
        <v>5</v>
      </c>
      <c r="K369" s="70">
        <v>2.2000000000000002</v>
      </c>
      <c r="L369" s="72">
        <v>42</v>
      </c>
      <c r="M369" s="72"/>
      <c r="N369" s="72">
        <f t="shared" si="11"/>
        <v>19.09090909090909</v>
      </c>
      <c r="O369" s="48" t="s">
        <v>64</v>
      </c>
      <c r="P369" s="72"/>
      <c r="Q369" s="72"/>
      <c r="R369" s="72"/>
      <c r="S369" s="72"/>
      <c r="T369" s="72"/>
      <c r="U369" s="72"/>
      <c r="V369" s="72"/>
      <c r="W369" s="72"/>
      <c r="X369" s="72"/>
      <c r="Y369" s="72"/>
      <c r="Z369" s="72"/>
      <c r="AA369" s="72"/>
      <c r="AB369" s="72"/>
      <c r="AC369" s="72">
        <f>N369*AG369*AF369</f>
        <v>400.90909090909088</v>
      </c>
      <c r="AD369" s="72">
        <f>$AC369*0.4089</f>
        <v>163.93172727272724</v>
      </c>
      <c r="AE369" s="72">
        <f>$AC369*0.0263</f>
        <v>10.543909090909091</v>
      </c>
      <c r="AF369" s="72">
        <v>14</v>
      </c>
      <c r="AG369" s="72">
        <v>1.5</v>
      </c>
      <c r="AI369" s="72"/>
      <c r="AJ369" s="72"/>
      <c r="AK369" s="72"/>
      <c r="AL369" s="72"/>
    </row>
    <row r="370" spans="1:44">
      <c r="A370" s="65">
        <v>369</v>
      </c>
      <c r="B370" s="148">
        <v>2014</v>
      </c>
      <c r="C370" s="79" t="s">
        <v>136</v>
      </c>
      <c r="D370" s="67" t="s">
        <v>105</v>
      </c>
      <c r="E370" s="67" t="s">
        <v>23</v>
      </c>
      <c r="F370" s="67" t="s">
        <v>27</v>
      </c>
      <c r="G370" s="67" t="s">
        <v>45</v>
      </c>
      <c r="H370" s="68">
        <v>41685</v>
      </c>
      <c r="I370" s="68">
        <v>41698</v>
      </c>
      <c r="K370" s="70">
        <v>2.7</v>
      </c>
      <c r="L370" s="72">
        <v>46</v>
      </c>
      <c r="M370" s="72"/>
      <c r="N370" s="72">
        <f t="shared" si="11"/>
        <v>17.037037037037035</v>
      </c>
      <c r="O370" s="48" t="s">
        <v>64</v>
      </c>
      <c r="P370" s="72"/>
      <c r="Q370" s="72"/>
      <c r="R370" s="72"/>
      <c r="S370" s="72"/>
      <c r="T370" s="72"/>
      <c r="U370" s="72"/>
      <c r="V370" s="72"/>
      <c r="W370" s="72"/>
      <c r="X370" s="72"/>
      <c r="Y370" s="72"/>
      <c r="Z370" s="72"/>
      <c r="AA370" s="72"/>
      <c r="AB370" s="72"/>
      <c r="AC370" s="72">
        <f>N370*AG370*AF370</f>
        <v>332.22222222222217</v>
      </c>
      <c r="AD370" s="72">
        <f>$AC370*0.4089</f>
        <v>135.84566666666663</v>
      </c>
      <c r="AE370" s="72">
        <f>$AC370*0.0263</f>
        <v>8.7374444444444439</v>
      </c>
      <c r="AF370" s="72">
        <v>13</v>
      </c>
      <c r="AG370" s="72">
        <v>1.5</v>
      </c>
      <c r="AI370" s="72"/>
      <c r="AJ370" s="72"/>
      <c r="AK370" s="72"/>
      <c r="AL370" s="72"/>
    </row>
    <row r="371" spans="1:44">
      <c r="A371" s="65">
        <v>370</v>
      </c>
      <c r="B371" s="148">
        <v>2014</v>
      </c>
      <c r="C371" s="79" t="s">
        <v>136</v>
      </c>
      <c r="D371" s="67" t="s">
        <v>105</v>
      </c>
      <c r="E371" s="67" t="s">
        <v>15</v>
      </c>
      <c r="F371" s="67" t="s">
        <v>35</v>
      </c>
      <c r="G371" s="67" t="s">
        <v>46</v>
      </c>
      <c r="H371" s="68">
        <v>41710</v>
      </c>
      <c r="I371" s="68"/>
      <c r="K371" s="70">
        <v>2.7</v>
      </c>
      <c r="L371" s="72">
        <v>76</v>
      </c>
      <c r="M371" s="72"/>
      <c r="N371" s="71">
        <f t="shared" si="11"/>
        <v>28.148148148148145</v>
      </c>
      <c r="O371" s="48" t="s">
        <v>5</v>
      </c>
      <c r="P371" s="72">
        <v>71.599999999999994</v>
      </c>
      <c r="Q371" s="72">
        <v>44.5</v>
      </c>
      <c r="R371" s="76" t="s">
        <v>60</v>
      </c>
      <c r="S371" s="72">
        <v>367.9</v>
      </c>
      <c r="T371" s="73">
        <v>5.14</v>
      </c>
      <c r="U371" s="72">
        <f>N371*1000*X371/100</f>
        <v>985.18518518518511</v>
      </c>
      <c r="V371" s="72">
        <f>S371*U371/1000</f>
        <v>362.44962962962961</v>
      </c>
      <c r="W371" s="72">
        <f>P371*U371/1000</f>
        <v>70.539259259259239</v>
      </c>
      <c r="X371" s="72">
        <v>3.5</v>
      </c>
      <c r="Y371" s="72">
        <v>56.648147583007813</v>
      </c>
      <c r="Z371" s="73">
        <v>33.777778625488281</v>
      </c>
      <c r="AA371" s="73">
        <v>78.814811706542969</v>
      </c>
      <c r="AB371" s="73">
        <v>7.0370368957519531</v>
      </c>
      <c r="AC371" s="72"/>
      <c r="AD371" s="72">
        <f>$N371*1000*$X371*0.01*$S371*0.001</f>
        <v>362.44962962962961</v>
      </c>
      <c r="AE371" s="72">
        <f>$N371*1000*$X371*0.01*$P371*0.001</f>
        <v>70.539259259259239</v>
      </c>
      <c r="AF371" s="72"/>
      <c r="AG371" s="72"/>
      <c r="AH371" s="72"/>
      <c r="AI371" s="72"/>
      <c r="AJ371" s="72"/>
      <c r="AK371" s="72"/>
      <c r="AL371" s="72"/>
    </row>
    <row r="372" spans="1:44">
      <c r="A372" s="65">
        <v>371</v>
      </c>
      <c r="B372" s="148">
        <v>2014</v>
      </c>
      <c r="C372" s="79" t="s">
        <v>136</v>
      </c>
      <c r="D372" s="67" t="s">
        <v>105</v>
      </c>
      <c r="E372" s="67" t="s">
        <v>23</v>
      </c>
      <c r="F372" s="67" t="s">
        <v>33</v>
      </c>
      <c r="G372" s="67" t="s">
        <v>43</v>
      </c>
      <c r="H372" s="68">
        <v>41776</v>
      </c>
      <c r="I372" s="68"/>
      <c r="J372" s="69">
        <v>1</v>
      </c>
      <c r="K372" s="70">
        <v>2.7</v>
      </c>
      <c r="L372" s="72">
        <v>225</v>
      </c>
      <c r="M372" s="72"/>
      <c r="N372" s="72">
        <f t="shared" si="11"/>
        <v>83.333333333333329</v>
      </c>
      <c r="O372" s="48" t="s">
        <v>80</v>
      </c>
      <c r="P372" s="72"/>
      <c r="Q372" s="72"/>
      <c r="R372" s="72"/>
      <c r="S372" s="72"/>
      <c r="T372" s="72"/>
      <c r="U372" s="72"/>
      <c r="V372" s="72"/>
      <c r="W372" s="72"/>
      <c r="X372" s="72">
        <v>86</v>
      </c>
      <c r="Y372" s="72"/>
      <c r="Z372" s="72"/>
      <c r="AA372" s="72"/>
      <c r="AB372" s="72"/>
      <c r="AC372" s="72">
        <f>N372*X372</f>
        <v>7166.6666666666661</v>
      </c>
      <c r="AD372" s="72">
        <f>$AC372*AI372</f>
        <v>3117.8005853902146</v>
      </c>
      <c r="AE372" s="72">
        <f>$AC372*AJ372</f>
        <v>91.295528498406725</v>
      </c>
      <c r="AF372" s="72"/>
      <c r="AG372" s="72"/>
      <c r="AH372" s="73">
        <v>7115</v>
      </c>
      <c r="AI372" s="72">
        <v>0.43504194214747183</v>
      </c>
      <c r="AJ372" s="72">
        <v>1.2738910953266055E-2</v>
      </c>
      <c r="AK372" s="91">
        <f>$AH372*AI372</f>
        <v>3095.323418379262</v>
      </c>
      <c r="AL372" s="91">
        <f>$AH372*AJ372</f>
        <v>90.637351432487989</v>
      </c>
    </row>
    <row r="373" spans="1:44">
      <c r="A373" s="65">
        <v>372</v>
      </c>
      <c r="B373" s="148">
        <v>2014</v>
      </c>
      <c r="C373" s="79" t="s">
        <v>136</v>
      </c>
      <c r="D373" s="67" t="s">
        <v>105</v>
      </c>
      <c r="E373" s="67" t="s">
        <v>15</v>
      </c>
      <c r="F373" s="67" t="s">
        <v>35</v>
      </c>
      <c r="G373" s="67" t="s">
        <v>46</v>
      </c>
      <c r="H373" s="68">
        <v>41785</v>
      </c>
      <c r="I373" s="68"/>
      <c r="K373" s="70">
        <v>2.7</v>
      </c>
      <c r="L373" s="72">
        <v>70</v>
      </c>
      <c r="M373" s="72"/>
      <c r="N373" s="71">
        <f t="shared" si="11"/>
        <v>25.925925925925924</v>
      </c>
      <c r="O373" s="48" t="s">
        <v>5</v>
      </c>
      <c r="P373" s="72">
        <v>76.900000000000006</v>
      </c>
      <c r="Q373" s="72">
        <v>45.7</v>
      </c>
      <c r="R373" s="48">
        <v>2.93</v>
      </c>
      <c r="S373" s="72">
        <v>394.8</v>
      </c>
      <c r="T373" s="73">
        <v>5.14</v>
      </c>
      <c r="U373" s="72">
        <f>N373*1000*X373/100</f>
        <v>700</v>
      </c>
      <c r="V373" s="72">
        <f>S373*U373/1000</f>
        <v>276.36</v>
      </c>
      <c r="W373" s="72">
        <f>P373*U373/1000</f>
        <v>53.830000000000005</v>
      </c>
      <c r="X373" s="72">
        <v>2.7</v>
      </c>
      <c r="Y373" s="72">
        <v>52.175926208496094</v>
      </c>
      <c r="Z373" s="73">
        <v>31.111110687255859</v>
      </c>
      <c r="AA373" s="73">
        <v>72.59259033203125</v>
      </c>
      <c r="AB373" s="73">
        <v>6.4814815521240234</v>
      </c>
      <c r="AC373" s="72"/>
      <c r="AD373" s="72">
        <f>$N373*1000*$X373*0.01*$S373*0.001</f>
        <v>276.36</v>
      </c>
      <c r="AE373" s="72">
        <f>$N373*1000*$X373*0.01*$P373*0.001</f>
        <v>53.830000000000005</v>
      </c>
      <c r="AF373" s="72"/>
      <c r="AG373" s="72"/>
      <c r="AH373" s="72"/>
      <c r="AI373" s="72"/>
      <c r="AJ373" s="72"/>
      <c r="AK373" s="72"/>
      <c r="AL373" s="72"/>
    </row>
    <row r="374" spans="1:44">
      <c r="A374" s="65">
        <v>373</v>
      </c>
      <c r="B374" s="148">
        <v>2014</v>
      </c>
      <c r="C374" s="79" t="s">
        <v>136</v>
      </c>
      <c r="D374" s="67" t="s">
        <v>105</v>
      </c>
      <c r="E374" s="67" t="s">
        <v>23</v>
      </c>
      <c r="F374" s="67" t="s">
        <v>33</v>
      </c>
      <c r="G374" s="78" t="s">
        <v>41</v>
      </c>
      <c r="H374" s="68">
        <v>41809</v>
      </c>
      <c r="I374" s="68"/>
      <c r="J374" s="69">
        <v>2</v>
      </c>
      <c r="K374" s="70">
        <v>2.7</v>
      </c>
      <c r="L374" s="72">
        <v>105</v>
      </c>
      <c r="M374" s="72"/>
      <c r="N374" s="72">
        <f t="shared" si="11"/>
        <v>38.888888888888886</v>
      </c>
      <c r="O374" s="48" t="s">
        <v>80</v>
      </c>
      <c r="P374" s="72"/>
      <c r="Q374" s="72"/>
      <c r="R374" s="72"/>
      <c r="S374" s="72"/>
      <c r="T374" s="72"/>
      <c r="U374" s="72"/>
      <c r="V374" s="72"/>
      <c r="W374" s="72"/>
      <c r="X374" s="72">
        <v>70</v>
      </c>
      <c r="Y374" s="72"/>
      <c r="Z374" s="72"/>
      <c r="AA374" s="72"/>
      <c r="AB374" s="72"/>
      <c r="AC374" s="72">
        <f>N374*X374</f>
        <v>2722.2222222222222</v>
      </c>
      <c r="AD374" s="72">
        <f>$AC374*AI374</f>
        <v>1173.7022345624239</v>
      </c>
      <c r="AE374" s="72">
        <f>$AC374*AJ374</f>
        <v>56.230414039770487</v>
      </c>
      <c r="AF374" s="72"/>
      <c r="AG374" s="72"/>
      <c r="AH374" s="73">
        <v>1580</v>
      </c>
      <c r="AI374" s="72">
        <v>0.43115592290048221</v>
      </c>
      <c r="AJ374" s="72">
        <v>2.0656070463589159E-2</v>
      </c>
      <c r="AK374" s="91">
        <f>$AH374*AI374</f>
        <v>681.22635818276194</v>
      </c>
      <c r="AL374" s="91">
        <f>$AH374*AJ374</f>
        <v>32.636591332470871</v>
      </c>
    </row>
    <row r="375" spans="1:44">
      <c r="A375" s="65">
        <v>374</v>
      </c>
      <c r="B375" s="148">
        <v>2014</v>
      </c>
      <c r="C375" s="79" t="s">
        <v>136</v>
      </c>
      <c r="D375" s="67" t="s">
        <v>105</v>
      </c>
      <c r="E375" s="67" t="s">
        <v>15</v>
      </c>
      <c r="F375" s="67" t="s">
        <v>35</v>
      </c>
      <c r="G375" s="67" t="s">
        <v>46</v>
      </c>
      <c r="H375" s="68">
        <v>41815</v>
      </c>
      <c r="I375" s="68"/>
      <c r="K375" s="70">
        <v>2.7</v>
      </c>
      <c r="L375" s="72">
        <v>56</v>
      </c>
      <c r="M375" s="72"/>
      <c r="N375" s="71">
        <f t="shared" si="11"/>
        <v>20.74074074074074</v>
      </c>
      <c r="O375" s="48" t="s">
        <v>5</v>
      </c>
      <c r="P375" s="72">
        <v>93.7</v>
      </c>
      <c r="Q375" s="72">
        <v>55.6</v>
      </c>
      <c r="R375" s="76" t="s">
        <v>60</v>
      </c>
      <c r="S375" s="72">
        <v>377.3</v>
      </c>
      <c r="T375" s="73">
        <v>4.03</v>
      </c>
      <c r="U375" s="72">
        <f>N375*1000*X375/100</f>
        <v>331.8518518518519</v>
      </c>
      <c r="V375" s="72">
        <f>S375*U375/1000</f>
        <v>125.20770370370373</v>
      </c>
      <c r="W375" s="72">
        <f>P375*U375/1000</f>
        <v>31.094518518518527</v>
      </c>
      <c r="X375" s="72">
        <v>1.6</v>
      </c>
      <c r="Y375" s="72">
        <v>41.740741729736328</v>
      </c>
      <c r="Z375" s="73">
        <v>24.888889312744141</v>
      </c>
      <c r="AA375" s="73">
        <v>58.074073791503906</v>
      </c>
      <c r="AB375" s="73">
        <v>5.1851849555969238</v>
      </c>
      <c r="AC375" s="72"/>
      <c r="AD375" s="72">
        <f>$N375*1000*$X375*0.01*$S375*0.001</f>
        <v>125.20770370370373</v>
      </c>
      <c r="AE375" s="72">
        <f>$N375*1000*$X375*0.01*$P375*0.001</f>
        <v>31.094518518518527</v>
      </c>
      <c r="AF375" s="72"/>
      <c r="AG375" s="72"/>
      <c r="AH375" s="72"/>
      <c r="AI375" s="72"/>
      <c r="AJ375" s="72"/>
      <c r="AK375" s="72"/>
      <c r="AL375" s="72"/>
    </row>
    <row r="376" spans="1:44">
      <c r="A376" s="65">
        <v>375</v>
      </c>
      <c r="B376" s="148">
        <v>2014</v>
      </c>
      <c r="C376" s="79" t="s">
        <v>136</v>
      </c>
      <c r="D376" s="67" t="s">
        <v>105</v>
      </c>
      <c r="E376" s="67" t="s">
        <v>23</v>
      </c>
      <c r="F376" s="67" t="s">
        <v>33</v>
      </c>
      <c r="G376" s="67" t="s">
        <v>34</v>
      </c>
      <c r="H376" s="68">
        <v>41885</v>
      </c>
      <c r="I376" s="68"/>
      <c r="J376" s="69">
        <v>3</v>
      </c>
      <c r="K376" s="70">
        <v>2.7</v>
      </c>
      <c r="L376" s="72">
        <v>225</v>
      </c>
      <c r="M376" s="72"/>
      <c r="N376" s="72">
        <f t="shared" si="11"/>
        <v>83.333333333333329</v>
      </c>
      <c r="O376" s="48" t="s">
        <v>80</v>
      </c>
      <c r="P376" s="72"/>
      <c r="Q376" s="72"/>
      <c r="R376" s="72"/>
      <c r="S376" s="72"/>
      <c r="T376" s="72"/>
      <c r="U376" s="72"/>
      <c r="V376" s="72"/>
      <c r="W376" s="72"/>
      <c r="X376" s="72">
        <v>37</v>
      </c>
      <c r="Y376" s="72"/>
      <c r="Z376" s="72"/>
      <c r="AA376" s="72"/>
      <c r="AB376" s="72"/>
      <c r="AC376" s="72">
        <f>N376*X376</f>
        <v>3083.333333333333</v>
      </c>
      <c r="AD376" s="72">
        <f>$AC376*AI376</f>
        <v>1342.8728321084118</v>
      </c>
      <c r="AE376" s="72">
        <f>$AC376*AJ376</f>
        <v>54.822515400770072</v>
      </c>
      <c r="AF376" s="72"/>
      <c r="AG376" s="72"/>
      <c r="AH376" s="73">
        <v>3857</v>
      </c>
      <c r="AI376" s="72">
        <v>0.43552632392705248</v>
      </c>
      <c r="AJ376" s="72">
        <v>1.7780275265114619E-2</v>
      </c>
      <c r="AK376" s="91">
        <f>$AH376*AI376</f>
        <v>1679.8250313866415</v>
      </c>
      <c r="AL376" s="91">
        <f>$AH376*AJ376</f>
        <v>68.578521697547089</v>
      </c>
    </row>
    <row r="377" spans="1:44">
      <c r="A377" s="65">
        <v>376</v>
      </c>
      <c r="B377" s="148">
        <v>2014</v>
      </c>
      <c r="C377" s="79" t="s">
        <v>136</v>
      </c>
      <c r="D377" s="67" t="s">
        <v>105</v>
      </c>
      <c r="E377" s="67" t="s">
        <v>15</v>
      </c>
      <c r="F377" s="67" t="s">
        <v>35</v>
      </c>
      <c r="G377" s="75" t="s">
        <v>46</v>
      </c>
      <c r="H377" s="68">
        <v>41891</v>
      </c>
      <c r="I377" s="68"/>
      <c r="K377" s="70">
        <v>2.7</v>
      </c>
      <c r="L377" s="72">
        <v>84</v>
      </c>
      <c r="M377" s="72"/>
      <c r="N377" s="71">
        <f t="shared" si="11"/>
        <v>31.111111111111111</v>
      </c>
      <c r="O377" s="48" t="s">
        <v>5</v>
      </c>
      <c r="P377" s="72">
        <v>49.6</v>
      </c>
      <c r="Q377" s="72">
        <v>23.5</v>
      </c>
      <c r="R377" s="48">
        <v>1.42</v>
      </c>
      <c r="S377" s="72">
        <v>415.6</v>
      </c>
      <c r="T377" s="73">
        <v>8.3800000000000008</v>
      </c>
      <c r="U377" s="72">
        <f>N377*1000*X377/100</f>
        <v>560</v>
      </c>
      <c r="V377" s="72">
        <f>S377*U377/1000</f>
        <v>232.73599999999999</v>
      </c>
      <c r="W377" s="72">
        <f>P377*U377/1000</f>
        <v>27.776</v>
      </c>
      <c r="X377" s="72">
        <v>1.8</v>
      </c>
      <c r="Y377" s="72">
        <v>62.611110687255859</v>
      </c>
      <c r="Z377" s="73">
        <v>37.333332061767578</v>
      </c>
      <c r="AA377" s="73">
        <v>87.111106872558594</v>
      </c>
      <c r="AB377" s="73">
        <v>7.7777776718139648</v>
      </c>
      <c r="AC377" s="72"/>
      <c r="AD377" s="72">
        <f>$N377*1000*$X377*0.01*$S377*0.001</f>
        <v>232.73600000000002</v>
      </c>
      <c r="AE377" s="72">
        <f>$N377*1000*$X377*0.01*$P377*0.001</f>
        <v>27.776</v>
      </c>
      <c r="AF377" s="72"/>
      <c r="AG377" s="72"/>
      <c r="AH377" s="72"/>
      <c r="AI377" s="72"/>
      <c r="AJ377" s="72"/>
      <c r="AK377" s="72"/>
      <c r="AL377" s="72"/>
    </row>
    <row r="378" spans="1:44">
      <c r="A378" s="65">
        <v>377</v>
      </c>
      <c r="B378" s="148">
        <v>2014</v>
      </c>
      <c r="C378" s="79" t="s">
        <v>136</v>
      </c>
      <c r="D378" s="67" t="s">
        <v>105</v>
      </c>
      <c r="E378" s="67" t="s">
        <v>23</v>
      </c>
      <c r="F378" s="67" t="s">
        <v>33</v>
      </c>
      <c r="G378" s="67" t="s">
        <v>34</v>
      </c>
      <c r="H378" s="68">
        <v>41931</v>
      </c>
      <c r="I378" s="68"/>
      <c r="J378" s="69">
        <v>4</v>
      </c>
      <c r="K378" s="70">
        <v>2.7</v>
      </c>
      <c r="L378" s="72">
        <v>208.16</v>
      </c>
      <c r="M378" s="72"/>
      <c r="N378" s="72">
        <f t="shared" si="11"/>
        <v>77.096296296296288</v>
      </c>
      <c r="O378" s="48" t="s">
        <v>80</v>
      </c>
      <c r="P378" s="72"/>
      <c r="Q378" s="72"/>
      <c r="R378" s="72"/>
      <c r="S378" s="72"/>
      <c r="T378" s="72"/>
      <c r="U378" s="72"/>
      <c r="V378" s="72"/>
      <c r="W378" s="72"/>
      <c r="X378" s="72">
        <v>37</v>
      </c>
      <c r="Y378" s="72"/>
      <c r="Z378" s="72"/>
      <c r="AA378" s="72"/>
      <c r="AB378" s="72"/>
      <c r="AC378" s="72">
        <f>N378*X378</f>
        <v>2852.5629629629625</v>
      </c>
      <c r="AD378" s="72">
        <f>$AC378*AI378</f>
        <v>1237.5541762703972</v>
      </c>
      <c r="AE378" s="72">
        <f>$AC378*AJ378</f>
        <v>67.355185471624608</v>
      </c>
      <c r="AF378" s="72"/>
      <c r="AG378" s="72"/>
      <c r="AH378" s="73">
        <v>2275</v>
      </c>
      <c r="AI378" s="72">
        <v>0.4338393901689544</v>
      </c>
      <c r="AJ378" s="72">
        <v>2.3612164339981E-2</v>
      </c>
      <c r="AK378" s="91">
        <f>$AH378*AI378</f>
        <v>986.98461263437127</v>
      </c>
      <c r="AL378" s="91">
        <f>$AH378*AJ378</f>
        <v>53.717673873456775</v>
      </c>
    </row>
    <row r="379" spans="1:44">
      <c r="A379" s="65">
        <v>378</v>
      </c>
      <c r="B379" s="148">
        <v>2014</v>
      </c>
      <c r="C379" s="79" t="s">
        <v>136</v>
      </c>
      <c r="D379" s="67" t="s">
        <v>105</v>
      </c>
      <c r="E379" s="67" t="s">
        <v>23</v>
      </c>
      <c r="F379" s="67" t="s">
        <v>27</v>
      </c>
      <c r="G379" s="67" t="s">
        <v>45</v>
      </c>
      <c r="H379" s="68">
        <v>41989</v>
      </c>
      <c r="I379" s="68">
        <v>41996</v>
      </c>
      <c r="K379" s="70">
        <v>2.7</v>
      </c>
      <c r="L379" s="72">
        <v>42</v>
      </c>
      <c r="M379" s="72"/>
      <c r="N379" s="72">
        <f t="shared" si="11"/>
        <v>15.555555555555555</v>
      </c>
      <c r="O379" s="48" t="s">
        <v>64</v>
      </c>
      <c r="P379" s="72"/>
      <c r="Q379" s="72"/>
      <c r="R379" s="72"/>
      <c r="S379" s="72"/>
      <c r="T379" s="72"/>
      <c r="U379" s="72"/>
      <c r="V379" s="72"/>
      <c r="W379" s="72"/>
      <c r="X379" s="72"/>
      <c r="Y379" s="72"/>
      <c r="Z379" s="72"/>
      <c r="AA379" s="72"/>
      <c r="AB379" s="72"/>
      <c r="AC379" s="72">
        <f>N379*AG379*AF379</f>
        <v>163.33333333333331</v>
      </c>
      <c r="AD379" s="72">
        <f>$AC379*0.4089</f>
        <v>66.786999999999992</v>
      </c>
      <c r="AE379" s="72">
        <f>$AC379*0.0263</f>
        <v>4.2956666666666665</v>
      </c>
      <c r="AF379" s="72">
        <v>7</v>
      </c>
      <c r="AG379" s="72">
        <v>1.5</v>
      </c>
      <c r="AI379" s="72"/>
      <c r="AJ379" s="72"/>
      <c r="AK379" s="72"/>
      <c r="AL379" s="72"/>
    </row>
    <row r="380" spans="1:44" ht="15.9" customHeight="1">
      <c r="A380" s="65">
        <v>379</v>
      </c>
      <c r="B380" s="99">
        <v>2015</v>
      </c>
      <c r="C380" s="66" t="s">
        <v>135</v>
      </c>
      <c r="D380" s="67" t="s">
        <v>105</v>
      </c>
      <c r="E380" s="67" t="s">
        <v>15</v>
      </c>
      <c r="F380" s="67" t="s">
        <v>35</v>
      </c>
      <c r="G380" s="67" t="s">
        <v>46</v>
      </c>
      <c r="H380" s="68">
        <v>42074.548611111109</v>
      </c>
      <c r="I380" s="68">
        <v>42074.614583333336</v>
      </c>
      <c r="K380" s="70">
        <v>2.2000000000000002</v>
      </c>
      <c r="L380" s="72">
        <v>47.4</v>
      </c>
      <c r="M380" s="72"/>
      <c r="N380" s="72">
        <f t="shared" si="11"/>
        <v>21.545454545454543</v>
      </c>
      <c r="O380" s="48" t="s">
        <v>5</v>
      </c>
      <c r="P380" s="48">
        <v>82.3</v>
      </c>
      <c r="Q380" s="48">
        <v>49.3</v>
      </c>
      <c r="R380" s="48">
        <v>0.33300000000000002</v>
      </c>
      <c r="S380" s="48">
        <v>392</v>
      </c>
      <c r="T380" s="100">
        <v>4.7699999999999996</v>
      </c>
      <c r="U380" s="72">
        <f>N380*1000*X380/100</f>
        <v>474</v>
      </c>
      <c r="V380" s="72">
        <f>S380*U380/1000</f>
        <v>185.80799999999999</v>
      </c>
      <c r="W380" s="72">
        <f>P380*U380/1000</f>
        <v>39.010199999999998</v>
      </c>
      <c r="X380" s="48">
        <v>2.2000000000000002</v>
      </c>
      <c r="Y380" s="72"/>
      <c r="Z380" s="100">
        <v>21.7</v>
      </c>
      <c r="AA380" s="100">
        <v>77.81</v>
      </c>
      <c r="AB380" s="100">
        <v>7.19</v>
      </c>
      <c r="AC380" s="72"/>
      <c r="AD380" s="72">
        <f>$N380*1000*$X380*0.01*$S380*0.001</f>
        <v>185.80799999999999</v>
      </c>
      <c r="AE380" s="72">
        <f>N380*X380*P380*0.01</f>
        <v>39.010199999999998</v>
      </c>
      <c r="AF380" s="72"/>
      <c r="AG380" s="72"/>
      <c r="AH380" s="91"/>
      <c r="AI380" s="72"/>
      <c r="AJ380" s="72"/>
      <c r="AK380" s="91"/>
      <c r="AL380" s="91"/>
    </row>
    <row r="381" spans="1:44">
      <c r="A381" s="65">
        <v>380</v>
      </c>
      <c r="B381" s="99">
        <v>2015</v>
      </c>
      <c r="C381" s="66" t="s">
        <v>135</v>
      </c>
      <c r="D381" s="67" t="s">
        <v>105</v>
      </c>
      <c r="E381" s="67" t="s">
        <v>23</v>
      </c>
      <c r="F381" s="67" t="s">
        <v>33</v>
      </c>
      <c r="G381" s="67" t="s">
        <v>34</v>
      </c>
      <c r="H381" s="68">
        <v>42115.458333333336</v>
      </c>
      <c r="I381" s="68">
        <v>42115</v>
      </c>
      <c r="J381" s="69">
        <v>1</v>
      </c>
      <c r="K381" s="70">
        <v>2.2000000000000002</v>
      </c>
      <c r="L381" s="72">
        <f>N381*K381</f>
        <v>52.492000000000004</v>
      </c>
      <c r="M381" s="72"/>
      <c r="N381" s="72">
        <v>23.86</v>
      </c>
      <c r="O381" s="48" t="s">
        <v>80</v>
      </c>
      <c r="P381" s="72"/>
      <c r="Q381" s="72"/>
      <c r="R381" s="72"/>
      <c r="S381" s="72"/>
      <c r="T381" s="72">
        <f>AI381/AJ381</f>
        <v>17.38170633707659</v>
      </c>
      <c r="U381" s="72"/>
      <c r="V381" s="72"/>
      <c r="W381" s="72"/>
      <c r="X381" s="72">
        <v>37</v>
      </c>
      <c r="Y381" s="72"/>
      <c r="Z381" s="72"/>
      <c r="AA381" s="72"/>
      <c r="AB381" s="72"/>
      <c r="AC381" s="72">
        <f>N381*X381</f>
        <v>882.81999999999994</v>
      </c>
      <c r="AD381" s="72">
        <f>$AC381*AI381</f>
        <v>395.08146032199994</v>
      </c>
      <c r="AE381" s="72">
        <f>$AC381*AJ381</f>
        <v>22.729728178599999</v>
      </c>
      <c r="AF381" s="72"/>
      <c r="AG381" s="72"/>
      <c r="AH381" s="70">
        <v>2341.8000000000002</v>
      </c>
      <c r="AI381" s="72">
        <v>0.44752209999999998</v>
      </c>
      <c r="AJ381" s="72">
        <v>2.5746729999999999E-2</v>
      </c>
      <c r="AK381" s="91">
        <f>$AH381*AI381</f>
        <v>1048.0072537799999</v>
      </c>
      <c r="AL381" s="48">
        <v>59.995000399387003</v>
      </c>
      <c r="AM381" s="48">
        <v>439.40493852481899</v>
      </c>
      <c r="AN381" s="48">
        <v>267.46994189462401</v>
      </c>
      <c r="AO381" s="48">
        <v>12.701192151018001</v>
      </c>
      <c r="AP381" s="48">
        <f>AM381/SQRT(10)</f>
        <v>138.9520420864695</v>
      </c>
      <c r="AQ381" s="48">
        <f>AN381/SQRT(10)</f>
        <v>84.581422201990392</v>
      </c>
      <c r="AR381" s="48">
        <f>AO381/SQRT(10)</f>
        <v>4.0164696196670189</v>
      </c>
    </row>
    <row r="382" spans="1:44">
      <c r="A382" s="65">
        <v>381</v>
      </c>
      <c r="B382" s="99">
        <v>2015</v>
      </c>
      <c r="C382" s="66" t="s">
        <v>135</v>
      </c>
      <c r="D382" s="67" t="s">
        <v>105</v>
      </c>
      <c r="E382" s="67" t="s">
        <v>15</v>
      </c>
      <c r="F382" s="67" t="s">
        <v>35</v>
      </c>
      <c r="G382" s="75" t="s">
        <v>46</v>
      </c>
      <c r="H382" s="68">
        <v>42123.652777777781</v>
      </c>
      <c r="I382" s="68">
        <v>42123.719444444447</v>
      </c>
      <c r="K382" s="70">
        <v>2.2000000000000002</v>
      </c>
      <c r="L382" s="72">
        <v>63</v>
      </c>
      <c r="M382" s="72"/>
      <c r="N382" s="72">
        <f>L382/K382</f>
        <v>28.636363636363633</v>
      </c>
      <c r="O382" s="48" t="s">
        <v>5</v>
      </c>
      <c r="P382" s="48">
        <v>61.2</v>
      </c>
      <c r="Q382" s="48">
        <v>37.1</v>
      </c>
      <c r="R382" s="76" t="s">
        <v>60</v>
      </c>
      <c r="S382" s="48">
        <v>414.5</v>
      </c>
      <c r="T382" s="100">
        <v>6.78</v>
      </c>
      <c r="U382" s="72">
        <f>N382*1000*X382/100</f>
        <v>744.54545454545439</v>
      </c>
      <c r="V382" s="72">
        <f>S382*U382/1000</f>
        <v>308.61409090909081</v>
      </c>
      <c r="W382" s="72">
        <f>P382*U382/1000</f>
        <v>45.566181818181811</v>
      </c>
      <c r="X382" s="48">
        <v>2.6</v>
      </c>
      <c r="Y382" s="72"/>
      <c r="Z382" s="100">
        <v>25.1</v>
      </c>
      <c r="AA382" s="100">
        <v>67.16</v>
      </c>
      <c r="AB382" s="100">
        <v>6.61</v>
      </c>
      <c r="AC382" s="72"/>
      <c r="AD382" s="72">
        <f>N382*X382*S382*0.01</f>
        <v>308.61409090909092</v>
      </c>
      <c r="AE382" s="72">
        <f>N382*X382*P382*0.01</f>
        <v>45.566181818181825</v>
      </c>
      <c r="AF382" s="72"/>
      <c r="AG382" s="72"/>
      <c r="AH382" s="91"/>
      <c r="AI382" s="72"/>
      <c r="AJ382" s="72"/>
      <c r="AK382" s="91"/>
      <c r="AL382" s="91"/>
    </row>
    <row r="383" spans="1:44">
      <c r="A383" s="65">
        <v>382</v>
      </c>
      <c r="B383" s="99">
        <v>2015</v>
      </c>
      <c r="C383" s="66" t="s">
        <v>135</v>
      </c>
      <c r="D383" s="67" t="s">
        <v>105</v>
      </c>
      <c r="E383" s="67" t="s">
        <v>23</v>
      </c>
      <c r="F383" s="67" t="s">
        <v>33</v>
      </c>
      <c r="G383" s="48" t="s">
        <v>41</v>
      </c>
      <c r="H383" s="68">
        <v>42157.631944444445</v>
      </c>
      <c r="I383" s="68">
        <v>42157.777777777781</v>
      </c>
      <c r="J383" s="69">
        <v>2</v>
      </c>
      <c r="K383" s="70">
        <v>2.2000000000000002</v>
      </c>
      <c r="L383" s="72">
        <f>N383*K383</f>
        <v>110.00000000000001</v>
      </c>
      <c r="M383" s="72"/>
      <c r="N383" s="72">
        <v>50</v>
      </c>
      <c r="O383" s="48" t="s">
        <v>80</v>
      </c>
      <c r="P383" s="72"/>
      <c r="Q383" s="72"/>
      <c r="R383" s="72"/>
      <c r="S383" s="72"/>
      <c r="T383" s="72">
        <f>AI383/AJ383</f>
        <v>29.16987335676426</v>
      </c>
      <c r="U383" s="72"/>
      <c r="V383" s="72"/>
      <c r="W383" s="72"/>
      <c r="X383" s="72">
        <v>70</v>
      </c>
      <c r="Y383" s="72"/>
      <c r="Z383" s="72"/>
      <c r="AA383" s="72"/>
      <c r="AB383" s="72"/>
      <c r="AC383" s="72">
        <f>N383*X383</f>
        <v>3500</v>
      </c>
      <c r="AD383" s="72">
        <f>$AC383*AI383</f>
        <v>1598.53225</v>
      </c>
      <c r="AE383" s="72">
        <f>$AC383*AJ383</f>
        <v>54.800795000000001</v>
      </c>
      <c r="AF383" s="72"/>
      <c r="AG383" s="72"/>
      <c r="AH383" s="70">
        <v>4338.6000000000004</v>
      </c>
      <c r="AI383" s="72">
        <v>0.4567235</v>
      </c>
      <c r="AJ383" s="72">
        <v>1.565737E-2</v>
      </c>
      <c r="AK383" s="91">
        <f>$AH383*AI383</f>
        <v>1981.5405771000003</v>
      </c>
      <c r="AL383" s="48">
        <v>66.535501110250294</v>
      </c>
      <c r="AM383" s="48">
        <v>838.94713778640403</v>
      </c>
      <c r="AN383" s="48">
        <v>380.18055596705898</v>
      </c>
      <c r="AO383" s="48">
        <v>12.0183382246503</v>
      </c>
      <c r="AP383" s="48">
        <f>AM383/SQRT(10)</f>
        <v>265.29837918841486</v>
      </c>
      <c r="AQ383" s="48">
        <f>AN383/SQRT(10)</f>
        <v>120.22364789650248</v>
      </c>
      <c r="AR383" s="48">
        <f>AO383/SQRT(10)</f>
        <v>3.8005322480159345</v>
      </c>
    </row>
    <row r="384" spans="1:44">
      <c r="A384" s="65">
        <v>383</v>
      </c>
      <c r="B384" s="99">
        <v>2015</v>
      </c>
      <c r="C384" s="66" t="s">
        <v>135</v>
      </c>
      <c r="D384" s="67" t="s">
        <v>105</v>
      </c>
      <c r="E384" s="67" t="s">
        <v>15</v>
      </c>
      <c r="F384" s="67" t="s">
        <v>35</v>
      </c>
      <c r="G384" s="67" t="s">
        <v>46</v>
      </c>
      <c r="H384" s="68">
        <v>42164.590277777781</v>
      </c>
      <c r="I384" s="68">
        <v>42164.677083333336</v>
      </c>
      <c r="K384" s="70">
        <v>2.2000000000000002</v>
      </c>
      <c r="L384" s="72">
        <v>67</v>
      </c>
      <c r="M384" s="72"/>
      <c r="N384" s="72">
        <f t="shared" ref="N384:N390" si="12">L384/K384</f>
        <v>30.454545454545453</v>
      </c>
      <c r="O384" s="48" t="s">
        <v>5</v>
      </c>
      <c r="P384" s="48">
        <v>69.400000000000006</v>
      </c>
      <c r="Q384" s="48">
        <v>47.8</v>
      </c>
      <c r="R384" s="76" t="s">
        <v>60</v>
      </c>
      <c r="S384" s="48">
        <v>386.2</v>
      </c>
      <c r="T384" s="100">
        <v>5.56</v>
      </c>
      <c r="U384" s="72">
        <f>N384*1000*X384/100</f>
        <v>517.72727272727263</v>
      </c>
      <c r="V384" s="72">
        <f>S384*U384/1000</f>
        <v>199.94627272727269</v>
      </c>
      <c r="W384" s="72">
        <f>P384*U384/1000</f>
        <v>35.930272727272722</v>
      </c>
      <c r="X384" s="48">
        <v>1.7</v>
      </c>
      <c r="Y384" s="72"/>
      <c r="Z384" s="100">
        <v>34.6</v>
      </c>
      <c r="AA384" s="100">
        <v>87.73</v>
      </c>
      <c r="AB384" s="100">
        <v>9.1199999999999992</v>
      </c>
      <c r="AC384" s="72"/>
      <c r="AD384" s="72">
        <f>N384*X384*S384*0.01</f>
        <v>199.94627272727271</v>
      </c>
      <c r="AE384" s="72">
        <f>N384*X384*P384*0.01</f>
        <v>35.93027272727273</v>
      </c>
      <c r="AF384" s="72"/>
      <c r="AG384" s="72"/>
      <c r="AH384" s="91"/>
      <c r="AI384" s="72"/>
      <c r="AJ384" s="72"/>
      <c r="AK384" s="91"/>
      <c r="AL384" s="91"/>
    </row>
    <row r="385" spans="1:44">
      <c r="A385" s="65">
        <v>384</v>
      </c>
      <c r="B385" s="99">
        <v>2015</v>
      </c>
      <c r="C385" s="66" t="s">
        <v>135</v>
      </c>
      <c r="D385" s="67" t="s">
        <v>105</v>
      </c>
      <c r="E385" s="67" t="s">
        <v>23</v>
      </c>
      <c r="F385" s="67" t="s">
        <v>33</v>
      </c>
      <c r="G385" s="78" t="s">
        <v>41</v>
      </c>
      <c r="H385" s="68">
        <v>42191.576388888891</v>
      </c>
      <c r="I385" s="68">
        <v>42191.708333333336</v>
      </c>
      <c r="J385" s="69">
        <v>3</v>
      </c>
      <c r="K385" s="70">
        <v>2.2000000000000002</v>
      </c>
      <c r="L385" s="72">
        <v>75</v>
      </c>
      <c r="M385" s="72"/>
      <c r="N385" s="72">
        <f t="shared" si="12"/>
        <v>34.090909090909086</v>
      </c>
      <c r="O385" s="48" t="s">
        <v>80</v>
      </c>
      <c r="P385" s="72"/>
      <c r="Q385" s="72"/>
      <c r="R385" s="72"/>
      <c r="S385" s="72"/>
      <c r="T385" s="72">
        <f>AI385/AJ385</f>
        <v>18.073780193730986</v>
      </c>
      <c r="U385" s="72"/>
      <c r="V385" s="72"/>
      <c r="W385" s="72"/>
      <c r="X385" s="72">
        <v>70</v>
      </c>
      <c r="Y385" s="72"/>
      <c r="Z385" s="72"/>
      <c r="AA385" s="72"/>
      <c r="AB385" s="72"/>
      <c r="AC385" s="72">
        <f>N385*X385</f>
        <v>2386.363636363636</v>
      </c>
      <c r="AD385" s="72">
        <f>$AC385*AI385</f>
        <v>1074.9537272727271</v>
      </c>
      <c r="AE385" s="72">
        <f>$AC385*AJ385</f>
        <v>59.475865909090899</v>
      </c>
      <c r="AF385" s="72"/>
      <c r="AG385" s="72"/>
      <c r="AH385" s="70">
        <v>1260.4000000000001</v>
      </c>
      <c r="AI385" s="72">
        <v>0.45045679999999999</v>
      </c>
      <c r="AJ385" s="72">
        <v>2.4923219999999999E-2</v>
      </c>
      <c r="AK385" s="91">
        <f>$AH385*AI385</f>
        <v>567.75575072000004</v>
      </c>
      <c r="AL385" s="48">
        <v>29.281698059003499</v>
      </c>
      <c r="AM385" s="48">
        <v>347.09947341424299</v>
      </c>
      <c r="AN385" s="48">
        <v>158.10001822830401</v>
      </c>
      <c r="AO385" s="48">
        <v>8.5496902113924502</v>
      </c>
      <c r="AP385" s="48">
        <f>AM385/SQRT(10)</f>
        <v>109.76249106340688</v>
      </c>
      <c r="AQ385" s="48">
        <f>AN385/SQRT(10)</f>
        <v>49.995615571557927</v>
      </c>
      <c r="AR385" s="48">
        <f>AO385/SQRT(10)</f>
        <v>2.7036494356846612</v>
      </c>
    </row>
    <row r="386" spans="1:44">
      <c r="A386" s="65">
        <v>385</v>
      </c>
      <c r="B386" s="99">
        <v>2015</v>
      </c>
      <c r="C386" s="66" t="s">
        <v>135</v>
      </c>
      <c r="D386" s="67" t="s">
        <v>105</v>
      </c>
      <c r="E386" s="67" t="s">
        <v>15</v>
      </c>
      <c r="F386" s="67" t="s">
        <v>35</v>
      </c>
      <c r="G386" s="67" t="s">
        <v>46</v>
      </c>
      <c r="H386" s="68">
        <v>42194.340277777781</v>
      </c>
      <c r="I386" s="68">
        <v>42194.413194444445</v>
      </c>
      <c r="K386" s="70">
        <v>2.2000000000000002</v>
      </c>
      <c r="L386" s="72">
        <v>78</v>
      </c>
      <c r="M386" s="72"/>
      <c r="N386" s="72">
        <f t="shared" si="12"/>
        <v>35.454545454545453</v>
      </c>
      <c r="O386" s="48" t="s">
        <v>5</v>
      </c>
      <c r="P386" s="48">
        <v>74.7</v>
      </c>
      <c r="Q386" s="48">
        <v>47.7</v>
      </c>
      <c r="R386" s="76" t="s">
        <v>60</v>
      </c>
      <c r="S386" s="48">
        <v>381.2</v>
      </c>
      <c r="T386" s="100">
        <v>5.12</v>
      </c>
      <c r="U386" s="72">
        <f>N386*1000*X386/100</f>
        <v>921.81818181818187</v>
      </c>
      <c r="V386" s="72">
        <f>S386*U386/1000</f>
        <v>351.39709090909093</v>
      </c>
      <c r="W386" s="72">
        <f>P386*U386/1000</f>
        <v>68.859818181818184</v>
      </c>
      <c r="X386" s="48">
        <v>2.6</v>
      </c>
      <c r="Y386" s="72"/>
      <c r="Z386" s="100">
        <v>25.65</v>
      </c>
      <c r="AA386" s="100">
        <v>102.49</v>
      </c>
      <c r="AB386" s="100">
        <v>8.98</v>
      </c>
      <c r="AC386" s="72"/>
      <c r="AD386" s="72">
        <f>N386*X386*S386*0.01</f>
        <v>351.39709090909093</v>
      </c>
      <c r="AE386" s="72">
        <f>N386*X386*P386*0.01</f>
        <v>68.859818181818198</v>
      </c>
      <c r="AF386" s="72"/>
      <c r="AG386" s="72"/>
      <c r="AH386" s="91"/>
      <c r="AI386" s="72"/>
      <c r="AJ386" s="72"/>
      <c r="AK386" s="91"/>
      <c r="AL386" s="91"/>
    </row>
    <row r="387" spans="1:44">
      <c r="A387" s="65">
        <v>386</v>
      </c>
      <c r="B387" s="99">
        <v>2015</v>
      </c>
      <c r="C387" s="66" t="s">
        <v>135</v>
      </c>
      <c r="D387" s="67" t="s">
        <v>105</v>
      </c>
      <c r="E387" s="67" t="s">
        <v>23</v>
      </c>
      <c r="F387" s="67" t="s">
        <v>33</v>
      </c>
      <c r="G387" s="67" t="s">
        <v>34</v>
      </c>
      <c r="H387" s="68">
        <v>42237.548611111109</v>
      </c>
      <c r="I387" s="68">
        <v>42237.65625</v>
      </c>
      <c r="J387" s="69">
        <v>4</v>
      </c>
      <c r="K387" s="70">
        <v>2.2000000000000002</v>
      </c>
      <c r="L387" s="72">
        <v>82.5</v>
      </c>
      <c r="M387" s="72"/>
      <c r="N387" s="72">
        <f t="shared" si="12"/>
        <v>37.5</v>
      </c>
      <c r="O387" s="48" t="s">
        <v>80</v>
      </c>
      <c r="P387" s="72"/>
      <c r="Q387" s="72"/>
      <c r="R387" s="72"/>
      <c r="S387" s="72"/>
      <c r="T387" s="72">
        <f>AI387/AJ387</f>
        <v>18.29704989965181</v>
      </c>
      <c r="U387" s="72"/>
      <c r="V387" s="72"/>
      <c r="W387" s="72"/>
      <c r="X387" s="72">
        <v>37</v>
      </c>
      <c r="Y387" s="72"/>
      <c r="Z387" s="72"/>
      <c r="AA387" s="72"/>
      <c r="AB387" s="72"/>
      <c r="AC387" s="72">
        <f>N387*X387</f>
        <v>1387.5</v>
      </c>
      <c r="AD387" s="72">
        <f>$AC387*AI387</f>
        <v>632.72969250000006</v>
      </c>
      <c r="AE387" s="72">
        <f>$AC387*AJ387</f>
        <v>34.580967749999999</v>
      </c>
      <c r="AF387" s="72"/>
      <c r="AG387" s="72"/>
      <c r="AH387" s="70">
        <v>3048.8</v>
      </c>
      <c r="AI387" s="72">
        <v>0.45602140000000002</v>
      </c>
      <c r="AJ387" s="72">
        <v>2.4923219999999999E-2</v>
      </c>
      <c r="AK387" s="91">
        <f>$AH387*AI387</f>
        <v>1390.3180443200001</v>
      </c>
      <c r="AL387" s="48">
        <v>75.788634005566195</v>
      </c>
      <c r="AM387" s="48">
        <v>994.84714068711696</v>
      </c>
      <c r="AN387" s="48">
        <v>254.20906848474101</v>
      </c>
      <c r="AO387" s="48">
        <v>17.838349395623901</v>
      </c>
      <c r="AP387" s="48">
        <f>AM387/SQRT(10)</f>
        <v>314.59828882772587</v>
      </c>
      <c r="AQ387" s="48">
        <f>AN387/SQRT(10)</f>
        <v>80.38796582815101</v>
      </c>
      <c r="AR387" s="48">
        <f>AO387/SQRT(10)</f>
        <v>5.6409813788059573</v>
      </c>
    </row>
    <row r="388" spans="1:44">
      <c r="A388" s="65">
        <v>387</v>
      </c>
      <c r="B388" s="99">
        <v>2015</v>
      </c>
      <c r="C388" s="66" t="s">
        <v>135</v>
      </c>
      <c r="D388" s="67" t="s">
        <v>105</v>
      </c>
      <c r="E388" s="67" t="s">
        <v>15</v>
      </c>
      <c r="F388" s="67" t="s">
        <v>35</v>
      </c>
      <c r="G388" s="67" t="s">
        <v>46</v>
      </c>
      <c r="H388" s="68">
        <v>42241.347222222219</v>
      </c>
      <c r="I388" s="68">
        <v>42241.416666666664</v>
      </c>
      <c r="K388" s="70">
        <v>2.2000000000000002</v>
      </c>
      <c r="L388" s="72">
        <v>60</v>
      </c>
      <c r="M388" s="72"/>
      <c r="N388" s="72">
        <f t="shared" si="12"/>
        <v>27.27272727272727</v>
      </c>
      <c r="O388" s="48" t="s">
        <v>5</v>
      </c>
      <c r="P388" s="48">
        <v>87.9</v>
      </c>
      <c r="Q388" s="48">
        <v>55.8</v>
      </c>
      <c r="R388" s="48">
        <v>5.71</v>
      </c>
      <c r="S388" s="48">
        <v>381.5</v>
      </c>
      <c r="T388" s="100">
        <v>4.34</v>
      </c>
      <c r="U388" s="72">
        <f>N388*1000*X388/100</f>
        <v>709.09090909090901</v>
      </c>
      <c r="V388" s="72">
        <f>S388*U388/1000</f>
        <v>270.51818181818174</v>
      </c>
      <c r="W388" s="72">
        <f>P388*U388/1000</f>
        <v>62.329090909090901</v>
      </c>
      <c r="X388" s="48">
        <v>2.6</v>
      </c>
      <c r="Y388" s="72"/>
      <c r="Z388" s="100">
        <v>33.229999999999997</v>
      </c>
      <c r="AA388" s="100">
        <v>94.25</v>
      </c>
      <c r="AB388" s="100">
        <v>8.01</v>
      </c>
      <c r="AC388" s="72"/>
      <c r="AD388" s="72">
        <f>N388*X388*S388*0.01</f>
        <v>270.5181818181818</v>
      </c>
      <c r="AE388" s="72">
        <f>N388*X388*P388*0.01</f>
        <v>62.329090909090908</v>
      </c>
      <c r="AF388" s="72"/>
      <c r="AG388" s="72"/>
      <c r="AH388" s="91"/>
      <c r="AI388" s="72"/>
      <c r="AJ388" s="72"/>
      <c r="AK388" s="91"/>
      <c r="AL388" s="91"/>
    </row>
    <row r="389" spans="1:44">
      <c r="A389" s="65">
        <v>388</v>
      </c>
      <c r="B389" s="99">
        <v>2015</v>
      </c>
      <c r="C389" s="66" t="s">
        <v>135</v>
      </c>
      <c r="D389" s="67" t="s">
        <v>105</v>
      </c>
      <c r="E389" s="67" t="s">
        <v>23</v>
      </c>
      <c r="F389" s="67" t="s">
        <v>33</v>
      </c>
      <c r="G389" s="67" t="s">
        <v>43</v>
      </c>
      <c r="H389" s="68">
        <v>42275</v>
      </c>
      <c r="I389" s="68">
        <v>42275</v>
      </c>
      <c r="J389" s="69">
        <v>5</v>
      </c>
      <c r="K389" s="70">
        <v>2.2000000000000002</v>
      </c>
      <c r="L389" s="72">
        <v>90</v>
      </c>
      <c r="M389" s="72"/>
      <c r="N389" s="72">
        <f t="shared" si="12"/>
        <v>40.909090909090907</v>
      </c>
      <c r="O389" s="48" t="s">
        <v>80</v>
      </c>
      <c r="P389" s="72"/>
      <c r="Q389" s="72"/>
      <c r="R389" s="72"/>
      <c r="S389" s="72"/>
      <c r="T389" s="72">
        <f>AI389/AJ389</f>
        <v>13.822797018108641</v>
      </c>
      <c r="U389" s="72"/>
      <c r="V389" s="72"/>
      <c r="W389" s="72"/>
      <c r="X389" s="72">
        <v>86</v>
      </c>
      <c r="Y389" s="72"/>
      <c r="Z389" s="72"/>
      <c r="AA389" s="72"/>
      <c r="AB389" s="72"/>
      <c r="AC389" s="72">
        <f>N389*X389</f>
        <v>3518.181818181818</v>
      </c>
      <c r="AD389" s="72">
        <f>$AC389*AI389</f>
        <v>1550.0549699999999</v>
      </c>
      <c r="AE389" s="72">
        <f>$AC389*AJ389</f>
        <v>112.13757736363637</v>
      </c>
      <c r="AF389" s="72"/>
      <c r="AG389" s="72"/>
      <c r="AH389" s="70">
        <v>1827.2</v>
      </c>
      <c r="AI389" s="72">
        <v>0.44058409999999998</v>
      </c>
      <c r="AJ389" s="72">
        <v>3.1873730000000003E-2</v>
      </c>
      <c r="AK389" s="91">
        <f>$AH389*AI389</f>
        <v>805.03526751999993</v>
      </c>
      <c r="AL389" s="48">
        <v>53.689283294235203</v>
      </c>
      <c r="AM389" s="48">
        <v>499.52923393486702</v>
      </c>
      <c r="AN389" s="48">
        <v>98.498703863266599</v>
      </c>
      <c r="AO389" s="48">
        <v>9.2544356335809592</v>
      </c>
      <c r="AP389" s="48">
        <f>AM389/SQRT(10)</f>
        <v>157.96501370732543</v>
      </c>
      <c r="AQ389" s="48">
        <f>AN389/SQRT(10)</f>
        <v>31.148025078234877</v>
      </c>
      <c r="AR389" s="48">
        <f>AO389/SQRT(10)</f>
        <v>2.9265095061539266</v>
      </c>
    </row>
    <row r="390" spans="1:44">
      <c r="A390" s="65">
        <v>389</v>
      </c>
      <c r="B390" s="99">
        <v>2015</v>
      </c>
      <c r="C390" s="66" t="s">
        <v>135</v>
      </c>
      <c r="D390" s="67" t="s">
        <v>105</v>
      </c>
      <c r="E390" s="67" t="s">
        <v>15</v>
      </c>
      <c r="F390" s="67" t="s">
        <v>35</v>
      </c>
      <c r="G390" s="67" t="s">
        <v>46</v>
      </c>
      <c r="H390" s="68">
        <v>42285.368055555555</v>
      </c>
      <c r="I390" s="68">
        <v>42285.430555555555</v>
      </c>
      <c r="J390" s="48"/>
      <c r="K390" s="70">
        <v>2.2000000000000002</v>
      </c>
      <c r="L390" s="72">
        <v>62</v>
      </c>
      <c r="M390" s="72"/>
      <c r="N390" s="72">
        <f t="shared" si="12"/>
        <v>28.18181818181818</v>
      </c>
      <c r="O390" s="48" t="s">
        <v>5</v>
      </c>
      <c r="P390" s="48">
        <v>79</v>
      </c>
      <c r="Q390" s="48">
        <v>45.7</v>
      </c>
      <c r="R390" s="48">
        <v>3.51</v>
      </c>
      <c r="S390" s="48">
        <v>370.1</v>
      </c>
      <c r="T390" s="100">
        <v>4.68</v>
      </c>
      <c r="U390" s="72">
        <f>N390*1000*X390/100</f>
        <v>563.63636363636363</v>
      </c>
      <c r="V390" s="72">
        <f>S390*U390/1000</f>
        <v>208.60181818181817</v>
      </c>
      <c r="W390" s="72">
        <f>P390*U390/1000</f>
        <v>44.527272727272731</v>
      </c>
      <c r="X390" s="48">
        <v>2</v>
      </c>
      <c r="Y390" s="72"/>
      <c r="Z390" s="100">
        <v>35.799999999999997</v>
      </c>
      <c r="AA390" s="100">
        <v>81.040000000000006</v>
      </c>
      <c r="AB390" s="100">
        <v>8.14</v>
      </c>
      <c r="AC390" s="72"/>
      <c r="AD390" s="72">
        <f>N390*X390*S390*0.01</f>
        <v>208.6018181818182</v>
      </c>
      <c r="AE390" s="72">
        <f>N390*X390*P390*0.01</f>
        <v>44.527272727272724</v>
      </c>
      <c r="AF390" s="72"/>
      <c r="AG390" s="72"/>
      <c r="AH390" s="91"/>
      <c r="AI390" s="72"/>
      <c r="AJ390" s="72"/>
      <c r="AK390" s="91"/>
      <c r="AL390" s="91"/>
    </row>
    <row r="391" spans="1:44">
      <c r="A391" s="65">
        <v>390</v>
      </c>
      <c r="B391" s="99">
        <v>2015</v>
      </c>
      <c r="C391" s="79" t="s">
        <v>136</v>
      </c>
      <c r="D391" s="67" t="s">
        <v>105</v>
      </c>
      <c r="E391" s="67" t="s">
        <v>21</v>
      </c>
      <c r="F391" s="67" t="s">
        <v>36</v>
      </c>
      <c r="G391" s="78" t="s">
        <v>182</v>
      </c>
      <c r="H391" s="68">
        <v>42076.5625</v>
      </c>
      <c r="I391" s="68">
        <v>42076.711805555555</v>
      </c>
      <c r="J391" s="101"/>
      <c r="K391" s="70">
        <v>2.7</v>
      </c>
      <c r="L391" s="48"/>
      <c r="M391" s="48"/>
      <c r="N391" s="72">
        <v>20</v>
      </c>
      <c r="O391" s="48" t="s">
        <v>3</v>
      </c>
      <c r="P391" s="72"/>
      <c r="Q391" s="72"/>
      <c r="R391" s="72"/>
      <c r="S391" s="72"/>
      <c r="T391" s="72"/>
      <c r="U391" s="72"/>
      <c r="V391" s="72"/>
      <c r="W391" s="72"/>
      <c r="X391" s="72"/>
      <c r="Y391" s="72"/>
      <c r="Z391" s="72"/>
      <c r="AA391" s="72"/>
      <c r="AB391" s="72"/>
      <c r="AC391" s="72"/>
      <c r="AD391" s="72"/>
      <c r="AE391" s="72"/>
      <c r="AF391" s="72"/>
      <c r="AG391" s="72"/>
      <c r="AH391" s="91"/>
      <c r="AI391" s="72"/>
      <c r="AJ391" s="72"/>
      <c r="AK391" s="91"/>
      <c r="AL391" s="91"/>
    </row>
    <row r="392" spans="1:44">
      <c r="A392" s="65">
        <v>391</v>
      </c>
      <c r="B392" s="99">
        <v>2015</v>
      </c>
      <c r="C392" s="79" t="s">
        <v>136</v>
      </c>
      <c r="D392" s="67" t="s">
        <v>105</v>
      </c>
      <c r="E392" s="67" t="s">
        <v>22</v>
      </c>
      <c r="F392" s="67" t="s">
        <v>28</v>
      </c>
      <c r="G392" s="75" t="s">
        <v>124</v>
      </c>
      <c r="H392" s="68">
        <v>42076.652777777781</v>
      </c>
      <c r="I392" s="68">
        <v>42076.753472222219</v>
      </c>
      <c r="J392" s="101"/>
      <c r="K392" s="70">
        <v>2.7</v>
      </c>
      <c r="L392" s="72"/>
      <c r="M392" s="72"/>
      <c r="N392" s="72"/>
      <c r="P392" s="72"/>
      <c r="Q392" s="72"/>
      <c r="R392" s="72"/>
      <c r="S392" s="72"/>
      <c r="T392" s="72"/>
      <c r="U392" s="72"/>
      <c r="V392" s="72"/>
      <c r="W392" s="72"/>
      <c r="X392" s="72"/>
      <c r="Y392" s="72"/>
      <c r="Z392" s="72"/>
      <c r="AA392" s="72"/>
      <c r="AB392" s="72"/>
      <c r="AC392" s="72"/>
      <c r="AD392" s="72"/>
      <c r="AE392" s="72"/>
      <c r="AF392" s="72"/>
      <c r="AG392" s="72"/>
      <c r="AH392" s="48"/>
      <c r="AI392" s="72"/>
      <c r="AJ392" s="72"/>
      <c r="AK392" s="48"/>
      <c r="AL392" s="48"/>
    </row>
    <row r="393" spans="1:44">
      <c r="A393" s="65">
        <v>392</v>
      </c>
      <c r="B393" s="99">
        <v>2015</v>
      </c>
      <c r="C393" s="79" t="s">
        <v>136</v>
      </c>
      <c r="D393" s="67" t="s">
        <v>105</v>
      </c>
      <c r="E393" s="67" t="s">
        <v>22</v>
      </c>
      <c r="F393" s="67" t="s">
        <v>40</v>
      </c>
      <c r="G393" s="75"/>
      <c r="H393" s="68">
        <v>42076.652777777781</v>
      </c>
      <c r="I393" s="68">
        <v>42076.753472222219</v>
      </c>
      <c r="K393" s="70">
        <v>2.7</v>
      </c>
      <c r="L393" s="48"/>
      <c r="M393" s="48"/>
      <c r="N393" s="72">
        <v>20</v>
      </c>
      <c r="O393" s="48" t="s">
        <v>3</v>
      </c>
      <c r="P393" s="72"/>
      <c r="Q393" s="72"/>
      <c r="R393" s="72"/>
      <c r="S393" s="72"/>
      <c r="T393" s="72"/>
      <c r="U393" s="72"/>
      <c r="V393" s="72"/>
      <c r="W393" s="72"/>
      <c r="X393" s="72"/>
      <c r="Y393" s="72"/>
      <c r="Z393" s="72"/>
      <c r="AA393" s="72"/>
      <c r="AB393" s="72"/>
      <c r="AC393" s="72"/>
      <c r="AD393" s="72"/>
      <c r="AE393" s="72"/>
      <c r="AF393" s="72"/>
      <c r="AG393" s="72"/>
      <c r="AH393" s="91"/>
      <c r="AI393" s="72"/>
      <c r="AJ393" s="72"/>
      <c r="AK393" s="91"/>
      <c r="AL393" s="91"/>
    </row>
    <row r="394" spans="1:44" ht="15" customHeight="1">
      <c r="A394" s="65">
        <v>393</v>
      </c>
      <c r="B394" s="99">
        <v>2015</v>
      </c>
      <c r="C394" s="79" t="s">
        <v>136</v>
      </c>
      <c r="D394" s="67" t="s">
        <v>105</v>
      </c>
      <c r="E394" s="67" t="s">
        <v>23</v>
      </c>
      <c r="F394" s="67" t="s">
        <v>33</v>
      </c>
      <c r="G394" s="67" t="s">
        <v>34</v>
      </c>
      <c r="H394" s="68">
        <v>42115.458333333336</v>
      </c>
      <c r="I394" s="68">
        <v>42115</v>
      </c>
      <c r="J394" s="69">
        <v>1</v>
      </c>
      <c r="K394" s="70">
        <v>2.7</v>
      </c>
      <c r="L394" s="72">
        <f>K394*N394</f>
        <v>29.997</v>
      </c>
      <c r="M394" s="72"/>
      <c r="N394" s="72">
        <v>11.11</v>
      </c>
      <c r="O394" s="48" t="s">
        <v>80</v>
      </c>
      <c r="P394" s="72"/>
      <c r="Q394" s="72"/>
      <c r="R394" s="72"/>
      <c r="S394" s="72"/>
      <c r="T394" s="72">
        <f t="shared" ref="T394:T399" si="13">AI394/AJ394</f>
        <v>16.324096363735091</v>
      </c>
      <c r="U394" s="72"/>
      <c r="V394" s="72"/>
      <c r="W394" s="72"/>
      <c r="X394" s="72">
        <v>37</v>
      </c>
      <c r="Y394" s="72"/>
      <c r="Z394" s="72"/>
      <c r="AA394" s="72"/>
      <c r="AB394" s="72"/>
      <c r="AC394" s="72">
        <f>N394*X394</f>
        <v>411.07</v>
      </c>
      <c r="AD394" s="72">
        <f t="shared" ref="AD394:AE400" si="14">$AC394*AI394</f>
        <v>181.66256192699998</v>
      </c>
      <c r="AE394" s="72">
        <f t="shared" si="14"/>
        <v>11.1284911507</v>
      </c>
      <c r="AF394" s="72"/>
      <c r="AG394" s="72"/>
      <c r="AH394" s="70">
        <v>1598.8</v>
      </c>
      <c r="AI394" s="72">
        <v>0.44192609999999999</v>
      </c>
      <c r="AJ394" s="72">
        <v>2.7072010000000001E-2</v>
      </c>
      <c r="AK394" s="91">
        <f t="shared" ref="AK394:AK400" si="15">$AH394*AI394</f>
        <v>706.55144867999991</v>
      </c>
      <c r="AL394" s="48">
        <v>42.005532393137301</v>
      </c>
      <c r="AM394" s="48">
        <v>872.78473863834301</v>
      </c>
      <c r="AN394" s="48">
        <v>383.17264211244498</v>
      </c>
      <c r="AO394" s="48">
        <v>21.195646296039801</v>
      </c>
      <c r="AP394" s="48">
        <f t="shared" ref="AP394:AR400" si="16">AM394/SQRT(10)</f>
        <v>275.99876811319297</v>
      </c>
      <c r="AQ394" s="48">
        <f t="shared" si="16"/>
        <v>121.16982861398782</v>
      </c>
      <c r="AR394" s="48">
        <f t="shared" si="16"/>
        <v>6.702651877479731</v>
      </c>
    </row>
    <row r="395" spans="1:44">
      <c r="A395" s="65">
        <v>394</v>
      </c>
      <c r="B395" s="99">
        <v>2015</v>
      </c>
      <c r="C395" s="79" t="s">
        <v>136</v>
      </c>
      <c r="D395" s="67" t="s">
        <v>105</v>
      </c>
      <c r="E395" s="67" t="s">
        <v>23</v>
      </c>
      <c r="F395" s="67" t="s">
        <v>33</v>
      </c>
      <c r="G395" s="78" t="s">
        <v>41</v>
      </c>
      <c r="H395" s="68">
        <v>42157.631944444445</v>
      </c>
      <c r="I395" s="68">
        <v>42157.777777777781</v>
      </c>
      <c r="J395" s="69">
        <v>2</v>
      </c>
      <c r="K395" s="70">
        <v>2.7</v>
      </c>
      <c r="L395" s="72">
        <f>K395*N395</f>
        <v>119.988</v>
      </c>
      <c r="M395" s="72"/>
      <c r="N395" s="72">
        <v>44.44</v>
      </c>
      <c r="O395" s="48" t="s">
        <v>80</v>
      </c>
      <c r="P395" s="72"/>
      <c r="Q395" s="72"/>
      <c r="R395" s="72"/>
      <c r="S395" s="72"/>
      <c r="T395" s="72">
        <f t="shared" si="13"/>
        <v>25.277548561897113</v>
      </c>
      <c r="U395" s="72"/>
      <c r="V395" s="72"/>
      <c r="W395" s="72"/>
      <c r="X395" s="72">
        <v>70</v>
      </c>
      <c r="Y395" s="72"/>
      <c r="Z395" s="72"/>
      <c r="AA395" s="72"/>
      <c r="AB395" s="72"/>
      <c r="AC395" s="72">
        <f>N395*X395</f>
        <v>3110.7999999999997</v>
      </c>
      <c r="AD395" s="72">
        <f t="shared" si="14"/>
        <v>1425.5794722399999</v>
      </c>
      <c r="AE395" s="72">
        <f t="shared" si="14"/>
        <v>56.397061951999994</v>
      </c>
      <c r="AF395" s="72"/>
      <c r="AG395" s="72"/>
      <c r="AH395" s="70">
        <v>3427.6</v>
      </c>
      <c r="AI395" s="72">
        <v>0.4582678</v>
      </c>
      <c r="AJ395" s="72">
        <v>1.812944E-2</v>
      </c>
      <c r="AK395" s="91">
        <f t="shared" si="15"/>
        <v>1570.7587112799999</v>
      </c>
      <c r="AL395" s="48">
        <v>61.642646647914297</v>
      </c>
      <c r="AM395" s="48">
        <v>1073.7114603095199</v>
      </c>
      <c r="AN395" s="48">
        <v>488.98512223177897</v>
      </c>
      <c r="AO395" s="48">
        <v>17.241894747347001</v>
      </c>
      <c r="AP395" s="48">
        <f t="shared" si="16"/>
        <v>339.53737644035618</v>
      </c>
      <c r="AQ395" s="48">
        <f t="shared" si="16"/>
        <v>154.6306728188259</v>
      </c>
      <c r="AR395" s="48">
        <f t="shared" si="16"/>
        <v>5.4523658578509941</v>
      </c>
    </row>
    <row r="396" spans="1:44">
      <c r="A396" s="65">
        <v>395</v>
      </c>
      <c r="B396" s="99">
        <v>2015</v>
      </c>
      <c r="C396" s="79" t="s">
        <v>136</v>
      </c>
      <c r="D396" s="67" t="s">
        <v>105</v>
      </c>
      <c r="E396" s="67" t="s">
        <v>23</v>
      </c>
      <c r="F396" s="67" t="s">
        <v>27</v>
      </c>
      <c r="G396" s="75" t="s">
        <v>45</v>
      </c>
      <c r="H396" s="68">
        <v>42170.381944444445</v>
      </c>
      <c r="I396" s="68">
        <v>42174.697916666664</v>
      </c>
      <c r="J396" s="69">
        <v>3</v>
      </c>
      <c r="K396" s="70">
        <v>2.7</v>
      </c>
      <c r="L396" s="102">
        <v>76</v>
      </c>
      <c r="M396" s="102"/>
      <c r="N396" s="72">
        <f>L396/K396</f>
        <v>28.148148148148145</v>
      </c>
      <c r="O396" s="48" t="s">
        <v>64</v>
      </c>
      <c r="P396" s="72"/>
      <c r="Q396" s="72"/>
      <c r="R396" s="72"/>
      <c r="S396" s="72"/>
      <c r="T396" s="72">
        <f t="shared" si="13"/>
        <v>13.892082691665545</v>
      </c>
      <c r="U396" s="72"/>
      <c r="V396" s="72"/>
      <c r="W396" s="72"/>
      <c r="X396" s="72"/>
      <c r="Y396" s="72"/>
      <c r="Z396" s="72"/>
      <c r="AA396" s="72"/>
      <c r="AB396" s="72"/>
      <c r="AC396" s="72">
        <f>N396*AG396*AF396</f>
        <v>211.11111111111109</v>
      </c>
      <c r="AD396" s="72">
        <f t="shared" si="14"/>
        <v>94.153275555555538</v>
      </c>
      <c r="AE396" s="72">
        <f t="shared" si="14"/>
        <v>6.7774773333333327</v>
      </c>
      <c r="AF396" s="72">
        <v>5</v>
      </c>
      <c r="AG396" s="72">
        <v>1.5</v>
      </c>
      <c r="AH396" s="70">
        <v>751.2</v>
      </c>
      <c r="AI396" s="72">
        <v>0.44598919999999997</v>
      </c>
      <c r="AJ396" s="72">
        <v>3.2103840000000002E-2</v>
      </c>
      <c r="AK396" s="91">
        <f t="shared" si="15"/>
        <v>335.02708704000003</v>
      </c>
      <c r="AL396" s="48">
        <v>24.9378569068171</v>
      </c>
      <c r="AM396" s="48">
        <v>155.106271812443</v>
      </c>
      <c r="AN396" s="48">
        <v>89.046097199829404</v>
      </c>
      <c r="AO396" s="48">
        <v>6.8834984568122604</v>
      </c>
      <c r="AP396" s="48">
        <f t="shared" si="16"/>
        <v>49.048909830449283</v>
      </c>
      <c r="AQ396" s="48">
        <f t="shared" si="16"/>
        <v>28.158848390020257</v>
      </c>
      <c r="AR396" s="48">
        <f t="shared" si="16"/>
        <v>2.1767533393780925</v>
      </c>
    </row>
    <row r="397" spans="1:44" ht="15.9" customHeight="1">
      <c r="A397" s="65">
        <v>396</v>
      </c>
      <c r="B397" s="99">
        <v>2015</v>
      </c>
      <c r="C397" s="79" t="s">
        <v>136</v>
      </c>
      <c r="D397" s="67" t="s">
        <v>105</v>
      </c>
      <c r="E397" s="67" t="s">
        <v>23</v>
      </c>
      <c r="F397" s="67" t="s">
        <v>27</v>
      </c>
      <c r="G397" s="67" t="s">
        <v>45</v>
      </c>
      <c r="H397" s="68">
        <v>42186.25</v>
      </c>
      <c r="I397" s="68">
        <v>42191.416666666664</v>
      </c>
      <c r="J397" s="69">
        <v>4</v>
      </c>
      <c r="K397" s="70">
        <v>2.7</v>
      </c>
      <c r="L397" s="103">
        <v>84</v>
      </c>
      <c r="M397" s="102"/>
      <c r="N397" s="72">
        <f>L397/K397</f>
        <v>31.111111111111111</v>
      </c>
      <c r="O397" s="48" t="s">
        <v>64</v>
      </c>
      <c r="P397" s="72"/>
      <c r="Q397" s="72"/>
      <c r="R397" s="72"/>
      <c r="S397" s="72"/>
      <c r="T397" s="72">
        <f t="shared" si="13"/>
        <v>15.88844095789373</v>
      </c>
      <c r="U397" s="72"/>
      <c r="V397" s="72"/>
      <c r="W397" s="72"/>
      <c r="X397" s="72"/>
      <c r="Y397" s="72"/>
      <c r="Z397" s="72"/>
      <c r="AA397" s="72"/>
      <c r="AB397" s="72"/>
      <c r="AC397" s="72">
        <f>N397*AG397*AF397</f>
        <v>116.66666666666666</v>
      </c>
      <c r="AD397" s="72">
        <f t="shared" si="14"/>
        <v>51.778731666666658</v>
      </c>
      <c r="AE397" s="72">
        <f t="shared" si="14"/>
        <v>3.2588931666666663</v>
      </c>
      <c r="AF397" s="72">
        <f>5*0.5</f>
        <v>2.5</v>
      </c>
      <c r="AG397" s="72">
        <v>1.5</v>
      </c>
      <c r="AH397" s="70">
        <v>1090.6666666666699</v>
      </c>
      <c r="AI397" s="72">
        <v>0.44381769999999998</v>
      </c>
      <c r="AJ397" s="72">
        <v>2.7933369999999999E-2</v>
      </c>
      <c r="AK397" s="91">
        <f t="shared" si="15"/>
        <v>484.05717146666808</v>
      </c>
      <c r="AL397" s="48">
        <v>24.4390396825987</v>
      </c>
      <c r="AM397" s="48">
        <v>400.18433252689903</v>
      </c>
      <c r="AN397" s="48">
        <v>93.908363002444403</v>
      </c>
      <c r="AO397" s="48">
        <v>4.3226965692665704</v>
      </c>
      <c r="AP397" s="48">
        <f>AM397/SQRT(10)</f>
        <v>126.54939746992068</v>
      </c>
      <c r="AQ397" s="48">
        <f t="shared" si="16"/>
        <v>29.696431842561267</v>
      </c>
      <c r="AR397" s="48">
        <f t="shared" si="16"/>
        <v>1.3669566792678169</v>
      </c>
    </row>
    <row r="398" spans="1:44" ht="14.1" customHeight="1">
      <c r="A398" s="65">
        <v>397</v>
      </c>
      <c r="B398" s="99">
        <v>2015</v>
      </c>
      <c r="C398" s="79" t="s">
        <v>136</v>
      </c>
      <c r="D398" s="67" t="s">
        <v>105</v>
      </c>
      <c r="E398" s="67" t="s">
        <v>23</v>
      </c>
      <c r="F398" s="67" t="s">
        <v>33</v>
      </c>
      <c r="G398" s="67" t="s">
        <v>34</v>
      </c>
      <c r="H398" s="68">
        <v>42237.548611111109</v>
      </c>
      <c r="I398" s="68">
        <v>42237.65625</v>
      </c>
      <c r="J398" s="69">
        <v>5</v>
      </c>
      <c r="K398" s="70">
        <v>2.7</v>
      </c>
      <c r="L398" s="104">
        <v>67.5</v>
      </c>
      <c r="M398" s="72"/>
      <c r="N398" s="72">
        <f>L398/K398</f>
        <v>25</v>
      </c>
      <c r="O398" s="48" t="s">
        <v>80</v>
      </c>
      <c r="P398" s="72"/>
      <c r="Q398" s="72"/>
      <c r="R398" s="72"/>
      <c r="S398" s="72"/>
      <c r="T398" s="72">
        <f t="shared" si="13"/>
        <v>15.844129418051208</v>
      </c>
      <c r="U398" s="72"/>
      <c r="V398" s="72"/>
      <c r="W398" s="72"/>
      <c r="X398" s="72">
        <v>37</v>
      </c>
      <c r="Y398" s="72"/>
      <c r="Z398" s="72"/>
      <c r="AA398" s="72"/>
      <c r="AB398" s="72"/>
      <c r="AC398" s="72">
        <f>N398*X398</f>
        <v>925</v>
      </c>
      <c r="AD398" s="72">
        <f t="shared" si="14"/>
        <v>425.67066249999999</v>
      </c>
      <c r="AE398" s="72">
        <f t="shared" si="14"/>
        <v>26.866144000000002</v>
      </c>
      <c r="AF398" s="72"/>
      <c r="AG398" s="72"/>
      <c r="AH398" s="70">
        <v>2232.88</v>
      </c>
      <c r="AI398" s="72">
        <v>0.4601845</v>
      </c>
      <c r="AJ398" s="72">
        <v>2.9044480000000001E-2</v>
      </c>
      <c r="AK398" s="91">
        <f t="shared" si="15"/>
        <v>1027.53676636</v>
      </c>
      <c r="AL398" s="48">
        <v>50.148697192953897</v>
      </c>
      <c r="AM398" s="48">
        <v>659.97243124239696</v>
      </c>
      <c r="AN398" s="48">
        <v>301.506923874515</v>
      </c>
      <c r="AO398" s="48">
        <v>19.732021349748901</v>
      </c>
      <c r="AP398" s="48">
        <f>AM398/SQRT(10)</f>
        <v>208.70160756448436</v>
      </c>
      <c r="AQ398" s="48">
        <f t="shared" si="16"/>
        <v>95.344860975446693</v>
      </c>
      <c r="AR398" s="48">
        <f t="shared" si="16"/>
        <v>6.239813030427646</v>
      </c>
    </row>
    <row r="399" spans="1:44">
      <c r="A399" s="65">
        <v>398</v>
      </c>
      <c r="B399" s="99">
        <v>2015</v>
      </c>
      <c r="C399" s="79" t="s">
        <v>136</v>
      </c>
      <c r="D399" s="67" t="s">
        <v>105</v>
      </c>
      <c r="E399" s="67" t="s">
        <v>23</v>
      </c>
      <c r="F399" s="67" t="s">
        <v>33</v>
      </c>
      <c r="G399" s="67" t="s">
        <v>43</v>
      </c>
      <c r="H399" s="68">
        <v>42275</v>
      </c>
      <c r="I399" s="68">
        <v>42275</v>
      </c>
      <c r="J399" s="69">
        <v>6</v>
      </c>
      <c r="K399" s="70">
        <v>2.7</v>
      </c>
      <c r="L399" s="72">
        <v>60</v>
      </c>
      <c r="M399" s="72"/>
      <c r="N399" s="72">
        <f>L399/K399</f>
        <v>22.222222222222221</v>
      </c>
      <c r="O399" s="48" t="s">
        <v>80</v>
      </c>
      <c r="P399" s="72"/>
      <c r="Q399" s="72"/>
      <c r="R399" s="72"/>
      <c r="S399" s="72"/>
      <c r="T399" s="72">
        <f t="shared" si="13"/>
        <v>14.362084740532451</v>
      </c>
      <c r="U399" s="72"/>
      <c r="V399" s="72"/>
      <c r="W399" s="72"/>
      <c r="X399" s="72">
        <v>86</v>
      </c>
      <c r="Y399" s="72"/>
      <c r="Z399" s="72"/>
      <c r="AA399" s="72"/>
      <c r="AB399" s="72"/>
      <c r="AC399" s="72">
        <f>N399*X399</f>
        <v>1911.1111111111111</v>
      </c>
      <c r="AD399" s="72">
        <f t="shared" si="14"/>
        <v>863.66895111111103</v>
      </c>
      <c r="AE399" s="72">
        <f t="shared" si="14"/>
        <v>60.135347111111116</v>
      </c>
      <c r="AF399" s="72"/>
      <c r="AG399" s="72"/>
      <c r="AH399" s="70">
        <v>1307.1400000000001</v>
      </c>
      <c r="AI399" s="72">
        <v>0.45191979999999998</v>
      </c>
      <c r="AJ399" s="72">
        <v>3.1466170000000002E-2</v>
      </c>
      <c r="AK399" s="91">
        <f t="shared" si="15"/>
        <v>590.72244737200003</v>
      </c>
      <c r="AL399" s="48">
        <v>40.561774153248898</v>
      </c>
      <c r="AM399" s="48">
        <v>218.680696704376</v>
      </c>
      <c r="AN399" s="48">
        <v>106.979774069382</v>
      </c>
      <c r="AO399" s="48">
        <v>9.5066350277406606</v>
      </c>
      <c r="AP399" s="48">
        <f t="shared" si="16"/>
        <v>69.152908189830512</v>
      </c>
      <c r="AQ399" s="48">
        <f t="shared" si="16"/>
        <v>33.829974962946714</v>
      </c>
      <c r="AR399" s="48">
        <f t="shared" si="16"/>
        <v>3.006261957159849</v>
      </c>
    </row>
    <row r="400" spans="1:44">
      <c r="A400" s="65">
        <v>399</v>
      </c>
      <c r="B400" s="105">
        <v>2016</v>
      </c>
      <c r="C400" s="66" t="s">
        <v>135</v>
      </c>
      <c r="D400" s="67" t="s">
        <v>105</v>
      </c>
      <c r="E400" s="67" t="s">
        <v>23</v>
      </c>
      <c r="F400" s="67" t="s">
        <v>27</v>
      </c>
      <c r="G400" s="67" t="s">
        <v>45</v>
      </c>
      <c r="H400" s="68">
        <v>42395.416666666664</v>
      </c>
      <c r="I400" s="68">
        <v>42410.4375</v>
      </c>
      <c r="K400" s="70">
        <v>2.2000000000000002</v>
      </c>
      <c r="L400" s="102">
        <v>27</v>
      </c>
      <c r="M400" s="102"/>
      <c r="N400" s="71">
        <f>27/4.9</f>
        <v>5.5102040816326525</v>
      </c>
      <c r="O400" s="48" t="s">
        <v>64</v>
      </c>
      <c r="P400" s="72"/>
      <c r="Q400" s="72"/>
      <c r="R400" s="72"/>
      <c r="S400" s="72"/>
      <c r="T400" s="72"/>
      <c r="U400" s="72"/>
      <c r="V400" s="72"/>
      <c r="W400" s="72"/>
      <c r="X400" s="72"/>
      <c r="Y400" s="72"/>
      <c r="Z400" s="72"/>
      <c r="AA400" s="72"/>
      <c r="AB400" s="72"/>
      <c r="AC400" s="76">
        <f>AF400*N400*AG400</f>
        <v>124.15178571430575</v>
      </c>
      <c r="AD400" s="72">
        <f t="shared" si="14"/>
        <v>52.80253114590775</v>
      </c>
      <c r="AE400" s="72">
        <f t="shared" si="14"/>
        <v>3.803799585359303</v>
      </c>
      <c r="AF400" s="72">
        <f>I400-H400</f>
        <v>15.020833333335759</v>
      </c>
      <c r="AG400" s="72">
        <v>1.5</v>
      </c>
      <c r="AH400" s="70">
        <v>782.76</v>
      </c>
      <c r="AI400" s="72">
        <v>0.42530625590368309</v>
      </c>
      <c r="AJ400" s="48">
        <v>3.0638299428994837E-2</v>
      </c>
      <c r="AK400" s="91">
        <f t="shared" si="15"/>
        <v>332.91272487116697</v>
      </c>
      <c r="AL400" s="48">
        <v>23.982435261039999</v>
      </c>
      <c r="AM400" s="48">
        <v>244.68966672093001</v>
      </c>
      <c r="AN400" s="48">
        <v>103.253737289703</v>
      </c>
      <c r="AO400" s="48">
        <v>6.33929984851261</v>
      </c>
      <c r="AP400" s="48">
        <f t="shared" si="16"/>
        <v>77.37766667456431</v>
      </c>
      <c r="AQ400" s="48">
        <f t="shared" si="16"/>
        <v>32.651698676012252</v>
      </c>
      <c r="AR400" s="48">
        <f t="shared" si="16"/>
        <v>2.0046626292060217</v>
      </c>
    </row>
    <row r="401" spans="1:44">
      <c r="A401" s="65">
        <v>400</v>
      </c>
      <c r="B401" s="105">
        <v>2016</v>
      </c>
      <c r="C401" s="66" t="s">
        <v>135</v>
      </c>
      <c r="D401" s="67" t="s">
        <v>105</v>
      </c>
      <c r="E401" s="67" t="s">
        <v>15</v>
      </c>
      <c r="F401" s="67" t="s">
        <v>35</v>
      </c>
      <c r="G401" s="67" t="s">
        <v>46</v>
      </c>
      <c r="H401" s="68">
        <v>42452.368055555555</v>
      </c>
      <c r="I401" s="68">
        <v>42452.416666666664</v>
      </c>
      <c r="K401" s="70">
        <v>2.2000000000000002</v>
      </c>
      <c r="L401" s="106">
        <f>K401*N401</f>
        <v>47.259259259259302</v>
      </c>
      <c r="M401" s="106"/>
      <c r="N401" s="72">
        <v>21.481481481481499</v>
      </c>
      <c r="O401" s="48" t="s">
        <v>5</v>
      </c>
      <c r="P401" s="48">
        <v>72.8</v>
      </c>
      <c r="Q401" s="48">
        <v>43.4</v>
      </c>
      <c r="R401" s="48">
        <v>1</v>
      </c>
      <c r="S401" s="48">
        <v>387.6</v>
      </c>
      <c r="T401" s="100">
        <v>5.32</v>
      </c>
      <c r="U401" s="72">
        <f>N401*1000*X401/100</f>
        <v>343.70370370370404</v>
      </c>
      <c r="V401" s="72">
        <f>S401*U401/1000</f>
        <v>133.21955555555567</v>
      </c>
      <c r="W401" s="72">
        <f>P401*U401/1000</f>
        <v>25.021629629629654</v>
      </c>
      <c r="X401" s="48">
        <v>1.6</v>
      </c>
      <c r="Y401" s="72"/>
      <c r="Z401" s="100">
        <v>24.48</v>
      </c>
      <c r="AA401" s="100">
        <v>101.78</v>
      </c>
      <c r="AB401" s="100">
        <v>7.12</v>
      </c>
      <c r="AC401" s="72"/>
      <c r="AD401" s="72">
        <f>N401*X401*S401*0.01</f>
        <v>133.2195555555557</v>
      </c>
      <c r="AE401" s="72">
        <f>N401*X401*P401*0.01</f>
        <v>25.021629629629651</v>
      </c>
      <c r="AF401" s="72"/>
      <c r="AG401" s="72"/>
      <c r="AH401" s="72"/>
      <c r="AI401" s="72"/>
      <c r="AJ401" s="72"/>
      <c r="AK401" s="72"/>
      <c r="AL401" s="72"/>
    </row>
    <row r="402" spans="1:44">
      <c r="A402" s="65">
        <v>401</v>
      </c>
      <c r="B402" s="105">
        <v>2016</v>
      </c>
      <c r="C402" s="66" t="s">
        <v>135</v>
      </c>
      <c r="D402" s="67" t="s">
        <v>105</v>
      </c>
      <c r="E402" s="67" t="s">
        <v>23</v>
      </c>
      <c r="F402" s="67" t="s">
        <v>33</v>
      </c>
      <c r="G402" s="67" t="s">
        <v>43</v>
      </c>
      <c r="H402" s="68">
        <v>42515.548611111109</v>
      </c>
      <c r="I402" s="68">
        <v>42515.548611111109</v>
      </c>
      <c r="J402" s="69">
        <v>1</v>
      </c>
      <c r="K402" s="70">
        <v>2.2000000000000002</v>
      </c>
      <c r="L402" s="48">
        <v>180</v>
      </c>
      <c r="M402" s="48"/>
      <c r="N402" s="72">
        <f>L402/K402</f>
        <v>81.818181818181813</v>
      </c>
      <c r="O402" s="48" t="s">
        <v>80</v>
      </c>
      <c r="P402" s="72"/>
      <c r="Q402" s="72"/>
      <c r="R402" s="72"/>
      <c r="S402" s="72"/>
      <c r="T402" s="72"/>
      <c r="U402" s="72"/>
      <c r="V402" s="72"/>
      <c r="W402" s="72"/>
      <c r="X402" s="72">
        <v>86</v>
      </c>
      <c r="Y402" s="72"/>
      <c r="Z402" s="72"/>
      <c r="AA402" s="72"/>
      <c r="AB402" s="72"/>
      <c r="AC402" s="72">
        <f>N402*X402</f>
        <v>7036.363636363636</v>
      </c>
      <c r="AD402" s="72"/>
      <c r="AE402" s="72"/>
      <c r="AF402" s="72"/>
      <c r="AG402" s="72"/>
      <c r="AH402" s="70">
        <v>6055.05</v>
      </c>
      <c r="AI402" s="72">
        <v>0.43104316963887668</v>
      </c>
      <c r="AJ402" s="48">
        <v>1.54260599643704E-2</v>
      </c>
      <c r="AK402" s="91">
        <f>$AH402*AI402</f>
        <v>2609.9879443218801</v>
      </c>
      <c r="AL402" s="48">
        <v>93.405564387260995</v>
      </c>
      <c r="AM402" s="48">
        <v>1274.2521582393999</v>
      </c>
      <c r="AN402" s="48">
        <v>643.75896165654899</v>
      </c>
      <c r="AO402" s="48">
        <v>37.761412614540397</v>
      </c>
      <c r="AP402" s="48">
        <f>AM402/SQRT(10)</f>
        <v>402.9539133421797</v>
      </c>
      <c r="AQ402" s="48">
        <f>AN402/SQRT(10)</f>
        <v>203.5744582979697</v>
      </c>
      <c r="AR402" s="48">
        <f>AO402/SQRT(10)</f>
        <v>11.941207152736153</v>
      </c>
    </row>
    <row r="403" spans="1:44">
      <c r="A403" s="65">
        <v>402</v>
      </c>
      <c r="B403" s="105">
        <v>2016</v>
      </c>
      <c r="C403" s="66" t="s">
        <v>135</v>
      </c>
      <c r="D403" s="67" t="s">
        <v>105</v>
      </c>
      <c r="E403" s="67" t="s">
        <v>15</v>
      </c>
      <c r="F403" s="67" t="s">
        <v>35</v>
      </c>
      <c r="G403" s="67" t="s">
        <v>46</v>
      </c>
      <c r="H403" s="68">
        <v>42522.368055555555</v>
      </c>
      <c r="I403" s="68">
        <v>42522</v>
      </c>
      <c r="K403" s="70">
        <v>2.2000000000000002</v>
      </c>
      <c r="L403" s="106">
        <f>K403*N403</f>
        <v>56</v>
      </c>
      <c r="M403" s="48"/>
      <c r="N403" s="76">
        <v>25.454545454545453</v>
      </c>
      <c r="O403" s="48" t="s">
        <v>5</v>
      </c>
      <c r="P403" s="48">
        <v>80.599999999999994</v>
      </c>
      <c r="Q403" s="48">
        <v>45.9</v>
      </c>
      <c r="R403" s="76">
        <v>1.5</v>
      </c>
      <c r="S403" s="48">
        <v>378.8</v>
      </c>
      <c r="T403" s="100">
        <v>4.7</v>
      </c>
      <c r="U403" s="72">
        <f>N403*1000*X403/100</f>
        <v>407.27272727272725</v>
      </c>
      <c r="V403" s="72">
        <f>S403*U403/1000</f>
        <v>154.27490909090909</v>
      </c>
      <c r="W403" s="72">
        <f>P403*U403/1000</f>
        <v>32.826181818181816</v>
      </c>
      <c r="X403" s="48">
        <v>1.6</v>
      </c>
      <c r="Y403" s="72"/>
      <c r="Z403" s="100">
        <v>28.44</v>
      </c>
      <c r="AA403" s="100">
        <v>96.25</v>
      </c>
      <c r="AB403" s="100">
        <v>8.08</v>
      </c>
      <c r="AC403" s="72"/>
      <c r="AD403" s="72">
        <f>N403*X403*S403*0.01</f>
        <v>154.27490909090909</v>
      </c>
      <c r="AE403" s="72">
        <f>N403*X403*P403*0.01</f>
        <v>32.826181818181816</v>
      </c>
      <c r="AF403" s="72"/>
      <c r="AG403" s="72"/>
      <c r="AH403" s="74"/>
      <c r="AI403" s="72"/>
      <c r="AJ403" s="72"/>
      <c r="AK403" s="72"/>
      <c r="AL403" s="72"/>
    </row>
    <row r="404" spans="1:44">
      <c r="A404" s="65">
        <v>403</v>
      </c>
      <c r="B404" s="105">
        <v>2016</v>
      </c>
      <c r="C404" s="66" t="s">
        <v>135</v>
      </c>
      <c r="D404" s="67" t="s">
        <v>105</v>
      </c>
      <c r="E404" s="67" t="s">
        <v>23</v>
      </c>
      <c r="F404" s="67" t="s">
        <v>33</v>
      </c>
      <c r="G404" s="67" t="s">
        <v>34</v>
      </c>
      <c r="H404" s="68">
        <v>42555.458333333336</v>
      </c>
      <c r="I404" s="68">
        <v>42555</v>
      </c>
      <c r="J404" s="69">
        <v>2</v>
      </c>
      <c r="K404" s="70">
        <v>2.2000000000000002</v>
      </c>
      <c r="L404" s="106">
        <v>52.5</v>
      </c>
      <c r="M404" s="106"/>
      <c r="N404" s="72">
        <f>L404/K404</f>
        <v>23.863636363636363</v>
      </c>
      <c r="O404" s="48" t="s">
        <v>80</v>
      </c>
      <c r="P404" s="72"/>
      <c r="Q404" s="72"/>
      <c r="R404" s="72"/>
      <c r="S404" s="72"/>
      <c r="T404" s="72"/>
      <c r="U404" s="72"/>
      <c r="V404" s="72"/>
      <c r="W404" s="72"/>
      <c r="X404" s="72">
        <v>37</v>
      </c>
      <c r="Y404" s="72"/>
      <c r="Z404" s="72"/>
      <c r="AA404" s="72"/>
      <c r="AB404" s="72"/>
      <c r="AC404" s="72">
        <f>N404*X404</f>
        <v>882.9545454545455</v>
      </c>
      <c r="AD404" s="72"/>
      <c r="AE404" s="72"/>
      <c r="AF404" s="72"/>
      <c r="AG404" s="72"/>
      <c r="AH404" s="70">
        <v>1053.8399999999999</v>
      </c>
      <c r="AI404" s="72">
        <v>0.43118524299706695</v>
      </c>
      <c r="AJ404" s="48">
        <v>1.6921031151067429E-2</v>
      </c>
      <c r="AK404" s="91">
        <f>$AH404*AI404</f>
        <v>454.40025648002899</v>
      </c>
      <c r="AL404" s="48">
        <v>17.832059468240899</v>
      </c>
      <c r="AM404" s="48">
        <v>237.173964282198</v>
      </c>
      <c r="AN404" s="48">
        <v>113.071316952929</v>
      </c>
      <c r="AO404" s="48">
        <v>2.17166151719334</v>
      </c>
      <c r="AP404" s="48">
        <f>AM404/SQRT(10)</f>
        <v>75.00099288231678</v>
      </c>
      <c r="AQ404" s="48">
        <f>AN404/SQRT(10)</f>
        <v>35.756289960606551</v>
      </c>
      <c r="AR404" s="48">
        <f>AO404/SQRT(10)</f>
        <v>0.68673967012678672</v>
      </c>
    </row>
    <row r="405" spans="1:44">
      <c r="A405" s="65">
        <v>404</v>
      </c>
      <c r="B405" s="105">
        <v>2016</v>
      </c>
      <c r="C405" s="66" t="s">
        <v>135</v>
      </c>
      <c r="D405" s="67" t="s">
        <v>105</v>
      </c>
      <c r="E405" s="67" t="s">
        <v>15</v>
      </c>
      <c r="F405" s="67" t="s">
        <v>35</v>
      </c>
      <c r="G405" s="67" t="s">
        <v>46</v>
      </c>
      <c r="H405" s="68">
        <v>42567.388888888891</v>
      </c>
      <c r="I405" s="68">
        <v>42567</v>
      </c>
      <c r="K405" s="70">
        <v>2.2000000000000002</v>
      </c>
      <c r="L405" s="107">
        <f>K405*N405</f>
        <v>54</v>
      </c>
      <c r="M405" s="48"/>
      <c r="N405" s="76">
        <v>24.545454545454543</v>
      </c>
      <c r="O405" s="48" t="s">
        <v>5</v>
      </c>
      <c r="P405" s="48">
        <v>71.2</v>
      </c>
      <c r="Q405" s="48">
        <v>49.8</v>
      </c>
      <c r="R405" s="76" t="s">
        <v>60</v>
      </c>
      <c r="S405" s="48">
        <v>398.9</v>
      </c>
      <c r="T405" s="100">
        <v>5.6</v>
      </c>
      <c r="U405" s="72">
        <f>N405*1000*X405/100</f>
        <v>687.27272727272725</v>
      </c>
      <c r="V405" s="72">
        <f>S405*U405/1000</f>
        <v>274.15309090909091</v>
      </c>
      <c r="W405" s="72">
        <f>P405*U405/1000</f>
        <v>48.933818181818182</v>
      </c>
      <c r="X405" s="48">
        <v>2.8</v>
      </c>
      <c r="Y405" s="72"/>
      <c r="Z405" s="100">
        <v>27.4</v>
      </c>
      <c r="AA405" s="100">
        <v>80.11</v>
      </c>
      <c r="AB405" s="100">
        <v>7.99</v>
      </c>
      <c r="AC405" s="72"/>
      <c r="AD405" s="72">
        <f>N405*X405*S405*0.01</f>
        <v>274.15309090909085</v>
      </c>
      <c r="AE405" s="72">
        <f>N405*X405*P405*0.01</f>
        <v>48.933818181818182</v>
      </c>
      <c r="AF405" s="72"/>
      <c r="AG405" s="72"/>
      <c r="AH405" s="74"/>
      <c r="AI405" s="72"/>
      <c r="AJ405" s="72"/>
      <c r="AK405" s="72"/>
      <c r="AL405" s="72"/>
    </row>
    <row r="406" spans="1:44">
      <c r="A406" s="65">
        <v>405</v>
      </c>
      <c r="B406" s="105">
        <v>2016</v>
      </c>
      <c r="C406" s="66" t="s">
        <v>135</v>
      </c>
      <c r="D406" s="67" t="s">
        <v>105</v>
      </c>
      <c r="E406" s="67" t="s">
        <v>23</v>
      </c>
      <c r="F406" s="67" t="s">
        <v>33</v>
      </c>
      <c r="G406" s="78" t="s">
        <v>43</v>
      </c>
      <c r="H406" s="68">
        <v>42595.340277777781</v>
      </c>
      <c r="I406" s="68">
        <v>42595</v>
      </c>
      <c r="J406" s="69">
        <v>3</v>
      </c>
      <c r="K406" s="70">
        <v>2.2000000000000002</v>
      </c>
      <c r="L406" s="106">
        <v>52.5</v>
      </c>
      <c r="M406" s="106"/>
      <c r="N406" s="72">
        <f>L406/K406</f>
        <v>23.863636363636363</v>
      </c>
      <c r="O406" s="48" t="s">
        <v>80</v>
      </c>
      <c r="P406" s="72"/>
      <c r="Q406" s="72"/>
      <c r="R406" s="72"/>
      <c r="S406" s="72"/>
      <c r="T406" s="72"/>
      <c r="U406" s="72"/>
      <c r="V406" s="72"/>
      <c r="W406" s="72"/>
      <c r="X406" s="72">
        <v>86</v>
      </c>
      <c r="Y406" s="72"/>
      <c r="Z406" s="72"/>
      <c r="AA406" s="72"/>
      <c r="AB406" s="72"/>
      <c r="AC406" s="72">
        <f>N406*X406</f>
        <v>2052.272727272727</v>
      </c>
      <c r="AD406" s="72"/>
      <c r="AE406" s="72"/>
      <c r="AF406" s="72"/>
      <c r="AG406" s="72"/>
      <c r="AH406" s="70">
        <v>1476.9</v>
      </c>
      <c r="AI406" s="72">
        <v>0.42618395928305636</v>
      </c>
      <c r="AJ406" s="48">
        <v>2.5866749362373553E-2</v>
      </c>
      <c r="AK406" s="91">
        <f>$AH406*AI406</f>
        <v>629.43108946514599</v>
      </c>
      <c r="AL406" s="48">
        <v>38.202602133289503</v>
      </c>
      <c r="AM406" s="48">
        <v>262.44722220752197</v>
      </c>
      <c r="AN406" s="48">
        <v>108.03572494315399</v>
      </c>
      <c r="AO406" s="48">
        <v>8.9537886523449508</v>
      </c>
      <c r="AP406" s="48">
        <f>AM406/SQRT(10)</f>
        <v>82.993098776009333</v>
      </c>
      <c r="AQ406" s="48">
        <f>AN406/SQRT(10)</f>
        <v>34.163895948783164</v>
      </c>
      <c r="AR406" s="48">
        <f>AO406/SQRT(10)</f>
        <v>2.8314365829179575</v>
      </c>
    </row>
    <row r="407" spans="1:44">
      <c r="A407" s="65">
        <v>406</v>
      </c>
      <c r="B407" s="105">
        <v>2016</v>
      </c>
      <c r="C407" s="66" t="s">
        <v>135</v>
      </c>
      <c r="D407" s="67" t="s">
        <v>105</v>
      </c>
      <c r="E407" s="67" t="s">
        <v>15</v>
      </c>
      <c r="F407" s="67" t="s">
        <v>35</v>
      </c>
      <c r="G407" s="67" t="s">
        <v>46</v>
      </c>
      <c r="H407" s="68">
        <v>42599.256944444445</v>
      </c>
      <c r="I407" s="68">
        <v>42599</v>
      </c>
      <c r="K407" s="70">
        <v>2.2000000000000002</v>
      </c>
      <c r="L407" s="106">
        <f>K407*N407</f>
        <v>51</v>
      </c>
      <c r="M407" s="48"/>
      <c r="N407" s="76">
        <v>23.18181818181818</v>
      </c>
      <c r="O407" s="48" t="s">
        <v>5</v>
      </c>
      <c r="P407" s="48">
        <v>110</v>
      </c>
      <c r="Q407" s="48">
        <v>60.3</v>
      </c>
      <c r="R407" s="76" t="s">
        <v>60</v>
      </c>
      <c r="S407" s="48">
        <v>388.4</v>
      </c>
      <c r="T407" s="100">
        <v>3.54</v>
      </c>
      <c r="U407" s="72">
        <f>N407*1000*X407/100</f>
        <v>370.90909090909088</v>
      </c>
      <c r="V407" s="72">
        <f>S407*U407/1000</f>
        <v>144.06109090909089</v>
      </c>
      <c r="W407" s="72">
        <f>P407*U407/1000</f>
        <v>40.799999999999997</v>
      </c>
      <c r="X407" s="48">
        <v>1.6</v>
      </c>
      <c r="Y407" s="72"/>
      <c r="Z407" s="100">
        <v>31.39</v>
      </c>
      <c r="AA407" s="100">
        <v>87.74</v>
      </c>
      <c r="AB407" s="100">
        <v>9.15</v>
      </c>
      <c r="AC407" s="72"/>
      <c r="AD407" s="72">
        <f>N407*X407*S407*0.01</f>
        <v>144.06109090909089</v>
      </c>
      <c r="AE407" s="72">
        <f>N407*X407*P407*0.01</f>
        <v>40.799999999999997</v>
      </c>
      <c r="AF407" s="72"/>
      <c r="AG407" s="72"/>
      <c r="AH407" s="74"/>
      <c r="AI407" s="72"/>
      <c r="AJ407" s="72"/>
      <c r="AK407" s="72"/>
      <c r="AL407" s="72"/>
    </row>
    <row r="408" spans="1:44">
      <c r="A408" s="65">
        <v>407</v>
      </c>
      <c r="B408" s="105">
        <v>2016</v>
      </c>
      <c r="C408" s="66" t="s">
        <v>135</v>
      </c>
      <c r="D408" s="67" t="s">
        <v>105</v>
      </c>
      <c r="E408" s="67" t="s">
        <v>23</v>
      </c>
      <c r="F408" s="67" t="s">
        <v>33</v>
      </c>
      <c r="G408" s="75" t="s">
        <v>34</v>
      </c>
      <c r="H408" s="68">
        <v>42635.548611111109</v>
      </c>
      <c r="I408" s="68">
        <v>42635</v>
      </c>
      <c r="J408" s="69">
        <v>4</v>
      </c>
      <c r="K408" s="70">
        <v>2.2000000000000002</v>
      </c>
      <c r="L408" s="106">
        <v>54</v>
      </c>
      <c r="M408" s="106"/>
      <c r="N408" s="72">
        <f>L408/K408</f>
        <v>24.545454545454543</v>
      </c>
      <c r="O408" s="48" t="s">
        <v>80</v>
      </c>
      <c r="P408" s="72"/>
      <c r="Q408" s="72"/>
      <c r="R408" s="72"/>
      <c r="S408" s="72"/>
      <c r="T408" s="72"/>
      <c r="U408" s="72"/>
      <c r="V408" s="72"/>
      <c r="W408" s="72"/>
      <c r="X408" s="72">
        <v>37</v>
      </c>
      <c r="Y408" s="72"/>
      <c r="Z408" s="72"/>
      <c r="AA408" s="72"/>
      <c r="AB408" s="72"/>
      <c r="AC408" s="72">
        <f>N408*X408</f>
        <v>908.18181818181813</v>
      </c>
      <c r="AD408" s="72"/>
      <c r="AE408" s="72"/>
      <c r="AF408" s="72"/>
      <c r="AG408" s="72"/>
      <c r="AH408" s="70">
        <v>1789.2</v>
      </c>
      <c r="AI408" s="72">
        <v>0.43900455129556615</v>
      </c>
      <c r="AJ408" s="48">
        <v>2.6688924542717637E-2</v>
      </c>
      <c r="AK408" s="91">
        <f>$AH408*AI408</f>
        <v>785.46694317802701</v>
      </c>
      <c r="AL408" s="48">
        <v>47.751823791830397</v>
      </c>
      <c r="AM408" s="48">
        <v>256.18951318636499</v>
      </c>
      <c r="AN408" s="48">
        <v>129.58236792991599</v>
      </c>
      <c r="AO408" s="48">
        <v>8.1365712861905699</v>
      </c>
      <c r="AP408" s="48">
        <f>AM408/SQRT(10)</f>
        <v>81.014237431865439</v>
      </c>
      <c r="AQ408" s="48">
        <f>AN408/SQRT(10)</f>
        <v>40.977542725649272</v>
      </c>
      <c r="AR408" s="48">
        <f>AO408/SQRT(10)</f>
        <v>2.5730097608687936</v>
      </c>
    </row>
    <row r="409" spans="1:44">
      <c r="A409" s="65">
        <v>408</v>
      </c>
      <c r="B409" s="105">
        <v>2016</v>
      </c>
      <c r="C409" s="66" t="s">
        <v>135</v>
      </c>
      <c r="D409" s="67" t="s">
        <v>105</v>
      </c>
      <c r="E409" s="67" t="s">
        <v>15</v>
      </c>
      <c r="F409" s="67" t="s">
        <v>35</v>
      </c>
      <c r="G409" s="67" t="s">
        <v>46</v>
      </c>
      <c r="H409" s="68">
        <v>42643.395833333336</v>
      </c>
      <c r="I409" s="68">
        <v>42643</v>
      </c>
      <c r="K409" s="70">
        <v>2.2000000000000002</v>
      </c>
      <c r="L409" s="106">
        <f>K409*N409</f>
        <v>59</v>
      </c>
      <c r="M409" s="108"/>
      <c r="N409" s="76">
        <v>26.818181818181817</v>
      </c>
      <c r="O409" s="48" t="s">
        <v>5</v>
      </c>
      <c r="P409" s="48">
        <v>103</v>
      </c>
      <c r="Q409" s="48">
        <v>55</v>
      </c>
      <c r="R409" s="76" t="s">
        <v>60</v>
      </c>
      <c r="S409" s="48">
        <v>385.3</v>
      </c>
      <c r="T409" s="100">
        <v>3.72</v>
      </c>
      <c r="U409" s="72">
        <f>N409*1000*X409/100</f>
        <v>321.81818181818176</v>
      </c>
      <c r="V409" s="72">
        <f>S409*U409/1000</f>
        <v>123.99654545454544</v>
      </c>
      <c r="W409" s="72">
        <f>P409*U409/1000</f>
        <v>33.147272727272721</v>
      </c>
      <c r="X409" s="48">
        <v>1.2</v>
      </c>
      <c r="Y409" s="72"/>
      <c r="Z409" s="100">
        <v>31.72</v>
      </c>
      <c r="AA409" s="100">
        <v>96.71</v>
      </c>
      <c r="AB409" s="100">
        <v>9.49</v>
      </c>
      <c r="AC409" s="72"/>
      <c r="AD409" s="72">
        <f>N409*X409*S409*0.01</f>
        <v>123.99654545454545</v>
      </c>
      <c r="AE409" s="72">
        <f>N409*X409*P409*0.01</f>
        <v>33.147272727272728</v>
      </c>
      <c r="AF409" s="72"/>
      <c r="AG409" s="72"/>
      <c r="AH409" s="74"/>
      <c r="AI409" s="72"/>
      <c r="AJ409" s="72"/>
      <c r="AK409" s="72"/>
      <c r="AL409" s="72"/>
    </row>
    <row r="410" spans="1:44">
      <c r="A410" s="65">
        <v>409</v>
      </c>
      <c r="B410" s="105">
        <v>2016</v>
      </c>
      <c r="C410" s="66" t="s">
        <v>135</v>
      </c>
      <c r="D410" s="67" t="s">
        <v>105</v>
      </c>
      <c r="E410" s="67" t="s">
        <v>23</v>
      </c>
      <c r="F410" s="67" t="s">
        <v>27</v>
      </c>
      <c r="G410" s="48" t="s">
        <v>45</v>
      </c>
      <c r="H410" s="68">
        <v>42696.715277777781</v>
      </c>
      <c r="I410" s="68">
        <v>42704.715277777781</v>
      </c>
      <c r="K410" s="70">
        <v>2.2000000000000002</v>
      </c>
      <c r="L410" s="109">
        <v>27</v>
      </c>
      <c r="M410" s="102"/>
      <c r="N410" s="71">
        <f>27/4.9</f>
        <v>5.5102040816326525</v>
      </c>
      <c r="O410" s="48" t="s">
        <v>64</v>
      </c>
      <c r="P410" s="72"/>
      <c r="Q410" s="72"/>
      <c r="R410" s="72"/>
      <c r="S410" s="72"/>
      <c r="T410" s="72"/>
      <c r="U410" s="72"/>
      <c r="V410" s="72"/>
      <c r="W410" s="72"/>
      <c r="X410" s="72"/>
      <c r="Y410" s="72"/>
      <c r="Z410" s="72"/>
      <c r="AA410" s="72"/>
      <c r="AB410" s="72"/>
      <c r="AC410" s="76">
        <f>AF410*N410*AG410</f>
        <v>66.122448979591837</v>
      </c>
      <c r="AD410" s="72">
        <f>$AC410*AI410</f>
        <v>26.865386540029707</v>
      </c>
      <c r="AE410" s="72">
        <f>$AC410*AJ410</f>
        <v>1.4483688260613305</v>
      </c>
      <c r="AF410" s="72">
        <v>8</v>
      </c>
      <c r="AG410" s="72">
        <v>1.5</v>
      </c>
      <c r="AH410" s="70">
        <v>750.82</v>
      </c>
      <c r="AI410" s="72">
        <v>0.40629751248810358</v>
      </c>
      <c r="AJ410" s="72">
        <v>2.190434335710037E-2</v>
      </c>
      <c r="AK410" s="91">
        <f>$AH410*AI410</f>
        <v>305.05629832631797</v>
      </c>
      <c r="AL410" s="48">
        <v>16.4462190793781</v>
      </c>
      <c r="AM410" s="48">
        <v>189.38857410097401</v>
      </c>
      <c r="AN410" s="48">
        <v>70.592677453039798</v>
      </c>
      <c r="AO410" s="48">
        <v>3.6737081969062602</v>
      </c>
      <c r="AP410" s="48">
        <f t="shared" ref="AP410:AR411" si="17">AM410/SQRT(10)</f>
        <v>59.889925697065379</v>
      </c>
      <c r="AQ410" s="48">
        <f t="shared" si="17"/>
        <v>22.323364688121977</v>
      </c>
      <c r="AR410" s="48">
        <f t="shared" si="17"/>
        <v>1.1617285361054124</v>
      </c>
    </row>
    <row r="411" spans="1:44">
      <c r="A411" s="65">
        <v>410</v>
      </c>
      <c r="B411" s="105">
        <v>2016</v>
      </c>
      <c r="C411" s="79" t="s">
        <v>136</v>
      </c>
      <c r="D411" s="67" t="s">
        <v>105</v>
      </c>
      <c r="E411" s="67" t="s">
        <v>23</v>
      </c>
      <c r="F411" s="67" t="s">
        <v>27</v>
      </c>
      <c r="G411" s="67" t="s">
        <v>45</v>
      </c>
      <c r="H411" s="68">
        <v>42395.416666666664</v>
      </c>
      <c r="I411" s="68">
        <v>42410.4375</v>
      </c>
      <c r="K411" s="70">
        <v>2.7</v>
      </c>
      <c r="L411" s="109">
        <v>27</v>
      </c>
      <c r="M411" s="102"/>
      <c r="N411" s="71">
        <f>27/4.9</f>
        <v>5.5102040816326525</v>
      </c>
      <c r="O411" s="48" t="s">
        <v>64</v>
      </c>
      <c r="P411" s="72"/>
      <c r="Q411" s="72"/>
      <c r="R411" s="72"/>
      <c r="S411" s="72"/>
      <c r="T411" s="72"/>
      <c r="U411" s="72"/>
      <c r="V411" s="72"/>
      <c r="W411" s="72"/>
      <c r="X411" s="72"/>
      <c r="Y411" s="72"/>
      <c r="Z411" s="72"/>
      <c r="AA411" s="72"/>
      <c r="AB411" s="72"/>
      <c r="AC411" s="76">
        <f>AF411*N411*AG411</f>
        <v>124.15178571430575</v>
      </c>
      <c r="AD411" s="72">
        <f>$AC411*AI411</f>
        <v>53.864606310113608</v>
      </c>
      <c r="AE411" s="72">
        <f>$AC411*AJ411</f>
        <v>4.1128636862760235</v>
      </c>
      <c r="AF411" s="72">
        <f>I411-H411</f>
        <v>15.020833333335759</v>
      </c>
      <c r="AG411" s="72">
        <v>1.5</v>
      </c>
      <c r="AH411" s="70">
        <v>563.20000000000005</v>
      </c>
      <c r="AI411" s="72">
        <v>0.43386090663299176</v>
      </c>
      <c r="AJ411" s="48">
        <v>3.3127704628755146E-2</v>
      </c>
      <c r="AK411" s="91">
        <f>$AH411*AI411</f>
        <v>244.35046261570099</v>
      </c>
      <c r="AL411" s="48">
        <v>18.657523246914899</v>
      </c>
      <c r="AM411" s="48">
        <v>96.952849365039299</v>
      </c>
      <c r="AN411" s="48">
        <v>42.136790750798497</v>
      </c>
      <c r="AO411" s="48">
        <v>4.2432480639557797</v>
      </c>
      <c r="AP411" s="48">
        <f t="shared" si="17"/>
        <v>30.659182963673381</v>
      </c>
      <c r="AQ411" s="48">
        <f t="shared" si="17"/>
        <v>13.324823206243966</v>
      </c>
      <c r="AR411" s="48">
        <f t="shared" si="17"/>
        <v>1.3418328559200088</v>
      </c>
    </row>
    <row r="412" spans="1:44">
      <c r="A412" s="65">
        <v>411</v>
      </c>
      <c r="B412" s="105">
        <v>2016</v>
      </c>
      <c r="C412" s="79" t="s">
        <v>136</v>
      </c>
      <c r="D412" s="67" t="s">
        <v>105</v>
      </c>
      <c r="E412" s="67" t="s">
        <v>22</v>
      </c>
      <c r="F412" s="67" t="s">
        <v>28</v>
      </c>
      <c r="G412" s="67" t="s">
        <v>124</v>
      </c>
      <c r="H412" s="68">
        <v>42466.5625</v>
      </c>
      <c r="I412" s="68">
        <v>42466.5625</v>
      </c>
      <c r="K412" s="70">
        <v>2.7</v>
      </c>
      <c r="L412" s="109"/>
      <c r="M412" s="102"/>
      <c r="N412" s="71"/>
      <c r="P412" s="72"/>
      <c r="Q412" s="72"/>
      <c r="R412" s="72"/>
      <c r="S412" s="72"/>
      <c r="T412" s="72"/>
      <c r="U412" s="72"/>
      <c r="V412" s="72"/>
      <c r="W412" s="72"/>
      <c r="X412" s="72"/>
      <c r="Y412" s="72"/>
      <c r="Z412" s="72"/>
      <c r="AA412" s="72"/>
      <c r="AB412" s="72"/>
      <c r="AC412" s="76"/>
      <c r="AD412" s="72"/>
      <c r="AE412" s="72"/>
      <c r="AF412" s="72"/>
      <c r="AG412" s="72"/>
      <c r="AH412" s="48"/>
      <c r="AI412" s="72"/>
      <c r="AJ412" s="72"/>
      <c r="AK412" s="48"/>
      <c r="AL412" s="48"/>
    </row>
    <row r="413" spans="1:44">
      <c r="A413" s="65">
        <v>412</v>
      </c>
      <c r="B413" s="105">
        <v>2016</v>
      </c>
      <c r="C413" s="79" t="s">
        <v>136</v>
      </c>
      <c r="D413" s="67" t="s">
        <v>105</v>
      </c>
      <c r="E413" s="67" t="s">
        <v>21</v>
      </c>
      <c r="F413" s="67" t="s">
        <v>36</v>
      </c>
      <c r="G413" s="48" t="s">
        <v>182</v>
      </c>
      <c r="H413" s="68">
        <v>42466.5625</v>
      </c>
      <c r="I413" s="68">
        <v>42466.5625</v>
      </c>
      <c r="K413" s="70">
        <v>2.7</v>
      </c>
      <c r="L413" s="48"/>
      <c r="M413" s="48"/>
      <c r="N413" s="72">
        <v>20</v>
      </c>
      <c r="O413" s="48" t="s">
        <v>3</v>
      </c>
      <c r="P413" s="72"/>
      <c r="Q413" s="72"/>
      <c r="R413" s="72"/>
      <c r="S413" s="72"/>
      <c r="T413" s="72"/>
      <c r="U413" s="72"/>
      <c r="V413" s="72"/>
      <c r="W413" s="72"/>
      <c r="X413" s="72"/>
      <c r="Y413" s="48"/>
      <c r="Z413" s="72"/>
      <c r="AA413" s="72"/>
      <c r="AB413" s="72"/>
      <c r="AC413" s="72"/>
      <c r="AD413" s="72"/>
      <c r="AE413" s="72"/>
      <c r="AF413" s="72"/>
      <c r="AG413" s="72"/>
      <c r="AH413" s="91"/>
      <c r="AI413" s="72"/>
      <c r="AJ413" s="72"/>
      <c r="AK413" s="72"/>
      <c r="AL413" s="72"/>
    </row>
    <row r="414" spans="1:44">
      <c r="A414" s="65">
        <v>413</v>
      </c>
      <c r="B414" s="105">
        <v>2016</v>
      </c>
      <c r="C414" s="79" t="s">
        <v>136</v>
      </c>
      <c r="D414" s="67" t="s">
        <v>105</v>
      </c>
      <c r="E414" s="67" t="s">
        <v>23</v>
      </c>
      <c r="F414" s="77" t="s">
        <v>33</v>
      </c>
      <c r="G414" s="67" t="s">
        <v>43</v>
      </c>
      <c r="H414" s="68">
        <v>42515.548611111109</v>
      </c>
      <c r="I414" s="68">
        <v>42516</v>
      </c>
      <c r="J414" s="69">
        <v>1</v>
      </c>
      <c r="K414" s="70">
        <v>2.7</v>
      </c>
      <c r="L414" s="48">
        <v>180</v>
      </c>
      <c r="M414" s="48"/>
      <c r="N414" s="71">
        <f>L414/K414</f>
        <v>66.666666666666657</v>
      </c>
      <c r="O414" s="48" t="s">
        <v>80</v>
      </c>
      <c r="P414" s="72"/>
      <c r="Q414" s="72"/>
      <c r="R414" s="72"/>
      <c r="S414" s="72"/>
      <c r="T414" s="72"/>
      <c r="U414" s="72"/>
      <c r="V414" s="72"/>
      <c r="W414" s="72"/>
      <c r="X414" s="72">
        <v>86</v>
      </c>
      <c r="Y414" s="72"/>
      <c r="Z414" s="72"/>
      <c r="AA414" s="72"/>
      <c r="AB414" s="72"/>
      <c r="AC414" s="72">
        <f>N414*X414</f>
        <v>5733.3333333333321</v>
      </c>
      <c r="AD414" s="72">
        <f>$AC414*AI414</f>
        <v>2471.8891565993822</v>
      </c>
      <c r="AE414" s="72">
        <f t="shared" ref="AE414:AE417" si="18">$AC414*AJ414</f>
        <v>103.30191916670934</v>
      </c>
      <c r="AF414" s="72"/>
      <c r="AG414" s="72"/>
      <c r="AH414" s="70">
        <v>4611.0200000000004</v>
      </c>
      <c r="AI414" s="72">
        <v>0.43114345754640399</v>
      </c>
      <c r="AJ414" s="48">
        <v>1.8017776598844657E-2</v>
      </c>
      <c r="AK414" s="91">
        <f>$AH414*AI414</f>
        <v>1988.01110561562</v>
      </c>
      <c r="AL414" s="48">
        <v>83.080328252804705</v>
      </c>
      <c r="AM414" s="48">
        <v>1194.8915541680799</v>
      </c>
      <c r="AN414" s="48">
        <v>667.27557948078299</v>
      </c>
      <c r="AO414" s="48">
        <v>18.029765902969501</v>
      </c>
      <c r="AP414" s="48">
        <f>AM414/SQRT(10)</f>
        <v>377.85788680695936</v>
      </c>
      <c r="AQ414" s="48">
        <f>AN414/SQRT(10)</f>
        <v>211.01106581679898</v>
      </c>
      <c r="AR414" s="48">
        <f t="shared" ref="AP414:AR418" si="19">AO414/SQRT(10)</f>
        <v>5.7015125933026019</v>
      </c>
    </row>
    <row r="415" spans="1:44">
      <c r="A415" s="65">
        <v>414</v>
      </c>
      <c r="B415" s="105">
        <v>2016</v>
      </c>
      <c r="C415" s="79" t="s">
        <v>136</v>
      </c>
      <c r="D415" s="67" t="s">
        <v>105</v>
      </c>
      <c r="E415" s="67" t="s">
        <v>23</v>
      </c>
      <c r="F415" s="67" t="s">
        <v>33</v>
      </c>
      <c r="G415" s="67" t="s">
        <v>34</v>
      </c>
      <c r="H415" s="68">
        <v>42555.458333333336</v>
      </c>
      <c r="I415" s="68">
        <v>42555</v>
      </c>
      <c r="J415" s="69">
        <v>2</v>
      </c>
      <c r="K415" s="70">
        <v>2.7</v>
      </c>
      <c r="L415" s="48">
        <v>60</v>
      </c>
      <c r="M415" s="48"/>
      <c r="N415" s="71">
        <f>L415/K415</f>
        <v>22.222222222222221</v>
      </c>
      <c r="O415" s="48" t="s">
        <v>80</v>
      </c>
      <c r="P415" s="72"/>
      <c r="Q415" s="72"/>
      <c r="R415" s="72"/>
      <c r="S415" s="72"/>
      <c r="T415" s="72"/>
      <c r="U415" s="72"/>
      <c r="V415" s="72"/>
      <c r="W415" s="72"/>
      <c r="X415" s="72">
        <v>37</v>
      </c>
      <c r="Y415" s="72"/>
      <c r="Z415" s="72"/>
      <c r="AA415" s="72"/>
      <c r="AB415" s="72"/>
      <c r="AC415" s="72">
        <f>N415*X415</f>
        <v>822.22222222222217</v>
      </c>
      <c r="AD415" s="72">
        <f>$AC415*AI415</f>
        <v>354.88367375105793</v>
      </c>
      <c r="AE415" s="72">
        <f t="shared" si="18"/>
        <v>18.590053895855799</v>
      </c>
      <c r="AF415" s="72"/>
      <c r="AG415" s="72"/>
      <c r="AH415" s="70">
        <v>1909.83</v>
      </c>
      <c r="AI415" s="72">
        <v>0.43161527888642182</v>
      </c>
      <c r="AJ415" s="48">
        <v>2.2609525008473269E-2</v>
      </c>
      <c r="AK415" s="91">
        <f>$AH415*AI415</f>
        <v>824.31180807565499</v>
      </c>
      <c r="AL415" s="48">
        <v>43.1803491469325</v>
      </c>
      <c r="AM415" s="48">
        <v>619.99377425189596</v>
      </c>
      <c r="AN415" s="48">
        <v>161.106051109329</v>
      </c>
      <c r="AO415" s="48">
        <v>5.1514629882835399</v>
      </c>
      <c r="AP415" s="48">
        <f t="shared" si="19"/>
        <v>196.05924617602477</v>
      </c>
      <c r="AQ415" s="48">
        <f t="shared" si="19"/>
        <v>50.946206634097621</v>
      </c>
      <c r="AR415" s="48">
        <f t="shared" si="19"/>
        <v>1.6290356325033279</v>
      </c>
    </row>
    <row r="416" spans="1:44">
      <c r="A416" s="65">
        <v>415</v>
      </c>
      <c r="B416" s="105">
        <v>2016</v>
      </c>
      <c r="C416" s="79" t="s">
        <v>136</v>
      </c>
      <c r="D416" s="67" t="s">
        <v>105</v>
      </c>
      <c r="E416" s="67" t="s">
        <v>23</v>
      </c>
      <c r="F416" s="77" t="s">
        <v>33</v>
      </c>
      <c r="G416" s="48" t="s">
        <v>43</v>
      </c>
      <c r="H416" s="68">
        <v>42595.340277777781</v>
      </c>
      <c r="I416" s="68">
        <v>42595</v>
      </c>
      <c r="J416" s="69">
        <v>3</v>
      </c>
      <c r="K416" s="70">
        <v>2.7</v>
      </c>
      <c r="L416" s="48">
        <v>41.25</v>
      </c>
      <c r="M416" s="48"/>
      <c r="N416" s="71">
        <f>L416/K416</f>
        <v>15.277777777777777</v>
      </c>
      <c r="O416" s="48" t="s">
        <v>80</v>
      </c>
      <c r="P416" s="72"/>
      <c r="Q416" s="72"/>
      <c r="R416" s="72"/>
      <c r="S416" s="72"/>
      <c r="T416" s="72"/>
      <c r="U416" s="72"/>
      <c r="V416" s="72"/>
      <c r="W416" s="72"/>
      <c r="X416" s="72">
        <v>86</v>
      </c>
      <c r="Y416" s="72"/>
      <c r="Z416" s="72"/>
      <c r="AA416" s="72"/>
      <c r="AB416" s="72"/>
      <c r="AC416" s="72">
        <f>N416*X416</f>
        <v>1313.8888888888889</v>
      </c>
      <c r="AD416" s="72">
        <f>$AC416*AI416</f>
        <v>570.2934012964306</v>
      </c>
      <c r="AE416" s="72">
        <f t="shared" si="18"/>
        <v>39.845956122751893</v>
      </c>
      <c r="AF416" s="72"/>
      <c r="AG416" s="72"/>
      <c r="AH416" s="70">
        <v>1668.6</v>
      </c>
      <c r="AI416" s="72">
        <v>0.434049946018425</v>
      </c>
      <c r="AJ416" s="48">
        <v>3.0326731932749852E-2</v>
      </c>
      <c r="AK416" s="91">
        <f>$AH416*AI416</f>
        <v>724.25573992634395</v>
      </c>
      <c r="AL416" s="48">
        <v>50.603184902986399</v>
      </c>
      <c r="AM416" s="48">
        <v>248.60821475656101</v>
      </c>
      <c r="AN416" s="48">
        <v>41.863286310134598</v>
      </c>
      <c r="AO416" s="48">
        <v>3.6088148006520502</v>
      </c>
      <c r="AP416" s="48">
        <f t="shared" si="19"/>
        <v>78.61682036590156</v>
      </c>
      <c r="AQ416" s="48">
        <f t="shared" si="19"/>
        <v>13.238333507977137</v>
      </c>
      <c r="AR416" s="48">
        <f t="shared" si="19"/>
        <v>1.141207442378698</v>
      </c>
    </row>
    <row r="417" spans="1:44">
      <c r="A417" s="65">
        <v>416</v>
      </c>
      <c r="B417" s="105">
        <v>2016</v>
      </c>
      <c r="C417" s="79" t="s">
        <v>136</v>
      </c>
      <c r="D417" s="67" t="s">
        <v>105</v>
      </c>
      <c r="E417" s="67" t="s">
        <v>23</v>
      </c>
      <c r="F417" s="67" t="s">
        <v>33</v>
      </c>
      <c r="G417" s="67" t="s">
        <v>34</v>
      </c>
      <c r="H417" s="68">
        <v>42635.548611111109</v>
      </c>
      <c r="I417" s="68">
        <v>42635</v>
      </c>
      <c r="J417" s="69">
        <v>4</v>
      </c>
      <c r="K417" s="70">
        <v>2.7</v>
      </c>
      <c r="L417" s="48">
        <v>54</v>
      </c>
      <c r="M417" s="48"/>
      <c r="N417" s="71">
        <f>L417/K417</f>
        <v>20</v>
      </c>
      <c r="O417" s="48" t="s">
        <v>80</v>
      </c>
      <c r="P417" s="72"/>
      <c r="Q417" s="72"/>
      <c r="R417" s="72"/>
      <c r="S417" s="72"/>
      <c r="T417" s="72"/>
      <c r="U417" s="72"/>
      <c r="V417" s="72"/>
      <c r="W417" s="72"/>
      <c r="X417" s="72">
        <v>37</v>
      </c>
      <c r="Y417" s="72"/>
      <c r="Z417" s="72"/>
      <c r="AA417" s="72"/>
      <c r="AB417" s="72"/>
      <c r="AC417" s="72">
        <f>N417*X417</f>
        <v>740</v>
      </c>
      <c r="AD417" s="72">
        <f>$AC417*AI417</f>
        <v>336.56793448825084</v>
      </c>
      <c r="AE417" s="72">
        <f t="shared" si="18"/>
        <v>23.119381489121483</v>
      </c>
      <c r="AF417" s="72"/>
      <c r="AG417" s="72"/>
      <c r="AH417" s="70">
        <v>1399</v>
      </c>
      <c r="AI417" s="72">
        <v>0.45482153309223083</v>
      </c>
      <c r="AJ417" s="48">
        <v>3.1242407417731734E-2</v>
      </c>
      <c r="AK417" s="91">
        <f>$AH417*AI417</f>
        <v>636.29532479603097</v>
      </c>
      <c r="AL417" s="48">
        <v>43.708127977406697</v>
      </c>
      <c r="AM417" s="48">
        <v>716.08022517654297</v>
      </c>
      <c r="AN417" s="48">
        <v>178.11810999970101</v>
      </c>
      <c r="AO417" s="48">
        <v>12.308638606110501</v>
      </c>
      <c r="AP417" s="48">
        <f t="shared" si="19"/>
        <v>226.44444989641244</v>
      </c>
      <c r="AQ417" s="48">
        <f t="shared" si="19"/>
        <v>56.325892012346849</v>
      </c>
      <c r="AR417" s="48">
        <f t="shared" si="19"/>
        <v>3.8923332891189295</v>
      </c>
    </row>
    <row r="418" spans="1:44">
      <c r="A418" s="65">
        <v>417</v>
      </c>
      <c r="B418" s="105">
        <v>2016</v>
      </c>
      <c r="C418" s="79" t="s">
        <v>136</v>
      </c>
      <c r="D418" s="67" t="s">
        <v>105</v>
      </c>
      <c r="E418" s="67" t="s">
        <v>23</v>
      </c>
      <c r="F418" s="67" t="s">
        <v>27</v>
      </c>
      <c r="G418" s="48" t="s">
        <v>45</v>
      </c>
      <c r="H418" s="68">
        <v>42696.715277777781</v>
      </c>
      <c r="I418" s="68">
        <v>42704.715277777781</v>
      </c>
      <c r="K418" s="70">
        <v>2.7</v>
      </c>
      <c r="L418" s="102">
        <v>27</v>
      </c>
      <c r="M418" s="102"/>
      <c r="N418" s="71">
        <f>27/4.9</f>
        <v>5.5102040816326525</v>
      </c>
      <c r="O418" s="48" t="s">
        <v>64</v>
      </c>
      <c r="P418" s="72"/>
      <c r="Q418" s="72"/>
      <c r="R418" s="72"/>
      <c r="S418" s="72"/>
      <c r="T418" s="72"/>
      <c r="U418" s="72"/>
      <c r="V418" s="72"/>
      <c r="W418" s="72"/>
      <c r="X418" s="72"/>
      <c r="Y418" s="72"/>
      <c r="Z418" s="72"/>
      <c r="AA418" s="72"/>
      <c r="AB418" s="72"/>
      <c r="AC418" s="76">
        <f>AF418*N418*AG418</f>
        <v>66.122448979591837</v>
      </c>
      <c r="AD418" s="72">
        <f>$AC418*AI418</f>
        <v>27.395878923389827</v>
      </c>
      <c r="AE418" s="72">
        <f>$AC418*AJ418</f>
        <v>1.8312686450982363</v>
      </c>
      <c r="AF418" s="72">
        <v>8</v>
      </c>
      <c r="AG418" s="72">
        <v>1.5</v>
      </c>
      <c r="AH418" s="70">
        <v>832.32</v>
      </c>
      <c r="AI418" s="72">
        <v>0.41432039112533997</v>
      </c>
      <c r="AJ418" s="48">
        <v>2.7695112225251103E-2</v>
      </c>
      <c r="AK418" s="91">
        <f>$AH418*AI418</f>
        <v>344.84714794144298</v>
      </c>
      <c r="AL418" s="48">
        <v>23.051195807321001</v>
      </c>
      <c r="AM418" s="48">
        <v>188.40583058918301</v>
      </c>
      <c r="AN418" s="48">
        <v>81.946370319000195</v>
      </c>
      <c r="AO418" s="48">
        <v>4.02069035737299</v>
      </c>
      <c r="AP418" s="48">
        <f t="shared" si="19"/>
        <v>59.579154911764171</v>
      </c>
      <c r="AQ418" s="48">
        <f t="shared" si="19"/>
        <v>25.913717619165944</v>
      </c>
      <c r="AR418" s="48">
        <f t="shared" si="19"/>
        <v>1.2714539295575022</v>
      </c>
    </row>
    <row r="419" spans="1:44">
      <c r="A419" s="65">
        <v>418</v>
      </c>
      <c r="B419" s="110">
        <v>2017</v>
      </c>
      <c r="C419" s="111" t="s">
        <v>135</v>
      </c>
      <c r="D419" s="112" t="s">
        <v>105</v>
      </c>
      <c r="E419" s="112" t="s">
        <v>15</v>
      </c>
      <c r="F419" s="112" t="s">
        <v>35</v>
      </c>
      <c r="G419" s="112" t="s">
        <v>46</v>
      </c>
      <c r="H419" s="68">
        <v>42823</v>
      </c>
      <c r="I419" s="68">
        <v>42823</v>
      </c>
      <c r="J419" s="113"/>
      <c r="K419" s="70">
        <v>2.2000000000000002</v>
      </c>
      <c r="L419" s="48">
        <v>62</v>
      </c>
      <c r="M419" s="71"/>
      <c r="N419" s="71">
        <v>28.18181818181818</v>
      </c>
      <c r="O419" s="48" t="s">
        <v>5</v>
      </c>
      <c r="P419" s="72">
        <v>61.4</v>
      </c>
      <c r="Q419" s="72">
        <v>35</v>
      </c>
      <c r="R419" s="72"/>
      <c r="S419" s="72">
        <v>416.9</v>
      </c>
      <c r="T419" s="73">
        <v>6.78</v>
      </c>
      <c r="U419" s="72">
        <v>1099.090909090909</v>
      </c>
      <c r="V419" s="72">
        <f>S419*U419/1000</f>
        <v>458.21099999999996</v>
      </c>
      <c r="W419" s="72">
        <v>67.48418181818181</v>
      </c>
      <c r="X419" s="72">
        <v>3.9</v>
      </c>
      <c r="Y419" s="72"/>
      <c r="Z419" s="73">
        <v>22.7</v>
      </c>
      <c r="AA419" s="73">
        <v>71.55</v>
      </c>
      <c r="AB419" s="73">
        <v>6.54</v>
      </c>
      <c r="AC419" s="72"/>
      <c r="AD419" s="72"/>
      <c r="AE419" s="72"/>
      <c r="AF419" s="72"/>
      <c r="AG419" s="72"/>
      <c r="AH419" s="74"/>
      <c r="AI419" s="72"/>
      <c r="AJ419" s="72"/>
      <c r="AK419" s="72"/>
      <c r="AL419" s="72"/>
    </row>
    <row r="420" spans="1:44">
      <c r="A420" s="65">
        <v>419</v>
      </c>
      <c r="B420" s="110">
        <v>2017</v>
      </c>
      <c r="C420" s="111" t="s">
        <v>135</v>
      </c>
      <c r="D420" s="112" t="s">
        <v>105</v>
      </c>
      <c r="E420" s="112" t="s">
        <v>23</v>
      </c>
      <c r="F420" s="112" t="s">
        <v>33</v>
      </c>
      <c r="G420" s="112" t="s">
        <v>34</v>
      </c>
      <c r="H420" s="68">
        <v>42872</v>
      </c>
      <c r="I420" s="68">
        <v>42873</v>
      </c>
      <c r="J420" s="113">
        <v>1</v>
      </c>
      <c r="K420" s="70">
        <v>2.2000000000000002</v>
      </c>
      <c r="L420" s="71"/>
      <c r="M420" s="71"/>
      <c r="N420" s="71"/>
      <c r="P420" s="72"/>
      <c r="Q420" s="72"/>
      <c r="R420" s="72"/>
      <c r="S420" s="72"/>
      <c r="T420" s="72"/>
      <c r="U420" s="72"/>
      <c r="V420" s="72"/>
      <c r="W420" s="72"/>
      <c r="X420" s="72">
        <v>37</v>
      </c>
      <c r="Y420" s="72"/>
      <c r="Z420" s="72"/>
      <c r="AA420" s="72"/>
      <c r="AB420" s="72"/>
      <c r="AC420" s="72" t="str">
        <f>IF(N420=0,"",N420*X420)</f>
        <v/>
      </c>
      <c r="AD420" s="72"/>
      <c r="AE420" s="72"/>
      <c r="AF420" s="72"/>
      <c r="AG420" s="72"/>
      <c r="AH420" s="70">
        <v>7098.1</v>
      </c>
      <c r="AI420" s="114">
        <v>0.43185423080364149</v>
      </c>
      <c r="AJ420" s="114">
        <v>2.2907567967770704E-2</v>
      </c>
      <c r="AK420" s="91">
        <f>$AH420*AI420</f>
        <v>3065.3445156673279</v>
      </c>
      <c r="AL420" s="91">
        <f>$AH420*AJ420</f>
        <v>162.60020819203325</v>
      </c>
      <c r="AM420" s="48">
        <v>1671.4271646310679</v>
      </c>
      <c r="AN420" s="48">
        <v>441.04909429991511</v>
      </c>
    </row>
    <row r="421" spans="1:44">
      <c r="A421" s="65">
        <v>420</v>
      </c>
      <c r="B421" s="110">
        <v>2017</v>
      </c>
      <c r="C421" s="111" t="s">
        <v>135</v>
      </c>
      <c r="D421" s="112" t="s">
        <v>105</v>
      </c>
      <c r="E421" s="112" t="s">
        <v>23</v>
      </c>
      <c r="F421" s="112" t="s">
        <v>33</v>
      </c>
      <c r="G421" s="112"/>
      <c r="H421" s="68">
        <v>42906</v>
      </c>
      <c r="I421" s="68">
        <v>42906</v>
      </c>
      <c r="J421" s="113">
        <v>2</v>
      </c>
      <c r="K421" s="70">
        <v>2.2000000000000002</v>
      </c>
      <c r="L421" s="71"/>
      <c r="M421" s="71"/>
      <c r="N421" s="71"/>
      <c r="P421" s="72"/>
      <c r="Q421" s="72"/>
      <c r="R421" s="72"/>
      <c r="S421" s="72"/>
      <c r="T421" s="72"/>
      <c r="U421" s="72"/>
      <c r="V421" s="72"/>
      <c r="W421" s="72"/>
      <c r="X421" s="72">
        <v>37</v>
      </c>
      <c r="Y421" s="72"/>
      <c r="Z421" s="72"/>
      <c r="AA421" s="72"/>
      <c r="AB421" s="72"/>
      <c r="AC421" s="72" t="str">
        <f>IF(N421=0,"",N421*X421)</f>
        <v/>
      </c>
      <c r="AD421" s="72"/>
      <c r="AE421" s="72"/>
      <c r="AF421" s="72"/>
      <c r="AG421" s="72"/>
      <c r="AH421" s="70">
        <v>3792.5999999999995</v>
      </c>
      <c r="AI421" s="114">
        <v>0.43185423080364149</v>
      </c>
      <c r="AJ421" s="114">
        <v>2.2907567967770704E-2</v>
      </c>
      <c r="AK421" s="91">
        <f>$AH421*AI421</f>
        <v>1637.8503557458905</v>
      </c>
      <c r="AL421" s="91">
        <f>$AH421*AJ421</f>
        <v>86.879242274567162</v>
      </c>
      <c r="AM421" s="48">
        <v>582.79731563478549</v>
      </c>
      <c r="AN421" s="48">
        <v>441.04909429991511</v>
      </c>
    </row>
    <row r="422" spans="1:44">
      <c r="A422" s="65">
        <v>421</v>
      </c>
      <c r="B422" s="110">
        <v>2017</v>
      </c>
      <c r="C422" s="115" t="s">
        <v>135</v>
      </c>
      <c r="D422" s="116" t="s">
        <v>105</v>
      </c>
      <c r="E422" s="112" t="s">
        <v>15</v>
      </c>
      <c r="F422" s="117" t="s">
        <v>35</v>
      </c>
      <c r="G422" s="116" t="s">
        <v>46</v>
      </c>
      <c r="H422" s="68">
        <v>42916</v>
      </c>
      <c r="I422" s="68">
        <v>42916</v>
      </c>
      <c r="J422" s="113"/>
      <c r="K422" s="70">
        <v>2.2000000000000002</v>
      </c>
      <c r="L422" s="48">
        <v>56</v>
      </c>
      <c r="M422" s="71"/>
      <c r="N422" s="71">
        <v>25.454545454545453</v>
      </c>
      <c r="O422" s="48" t="s">
        <v>109</v>
      </c>
      <c r="P422" s="72">
        <v>64.099999999999994</v>
      </c>
      <c r="Q422" s="72">
        <v>35.299999999999997</v>
      </c>
      <c r="R422" s="72"/>
      <c r="S422" s="72">
        <v>411.7</v>
      </c>
      <c r="T422" s="73">
        <v>6.43</v>
      </c>
      <c r="U422" s="72">
        <v>712.72727272727263</v>
      </c>
      <c r="V422" s="72">
        <f>S422*U422/1000</f>
        <v>293.42981818181812</v>
      </c>
      <c r="W422" s="72">
        <v>45.685818181818171</v>
      </c>
      <c r="X422" s="72">
        <v>2.8</v>
      </c>
      <c r="Y422" s="72"/>
      <c r="Z422" s="73">
        <v>27.46</v>
      </c>
      <c r="AA422" s="73">
        <v>62.65</v>
      </c>
      <c r="AB422" s="73">
        <v>7.55</v>
      </c>
      <c r="AC422" s="72"/>
      <c r="AD422" s="72"/>
      <c r="AE422" s="72"/>
      <c r="AF422" s="72"/>
      <c r="AG422" s="72"/>
      <c r="AH422" s="74"/>
      <c r="AI422" s="72"/>
      <c r="AJ422" s="72"/>
      <c r="AK422" s="72"/>
      <c r="AL422" s="72"/>
    </row>
    <row r="423" spans="1:44">
      <c r="A423" s="65">
        <v>422</v>
      </c>
      <c r="B423" s="110">
        <v>2017</v>
      </c>
      <c r="C423" s="115" t="s">
        <v>135</v>
      </c>
      <c r="D423" s="116" t="s">
        <v>105</v>
      </c>
      <c r="E423" s="112" t="s">
        <v>23</v>
      </c>
      <c r="F423" s="117" t="s">
        <v>33</v>
      </c>
      <c r="G423" s="116"/>
      <c r="H423" s="68">
        <v>42949</v>
      </c>
      <c r="I423" s="68">
        <v>42949</v>
      </c>
      <c r="J423" s="113">
        <v>3</v>
      </c>
      <c r="K423" s="70">
        <v>2.2000000000000002</v>
      </c>
      <c r="L423" s="71"/>
      <c r="M423" s="71"/>
      <c r="N423" s="71"/>
      <c r="P423" s="72"/>
      <c r="Q423" s="72"/>
      <c r="R423" s="72"/>
      <c r="S423" s="72"/>
      <c r="T423" s="72"/>
      <c r="U423" s="72"/>
      <c r="V423" s="72"/>
      <c r="W423" s="72"/>
      <c r="X423" s="72">
        <v>37</v>
      </c>
      <c r="Y423" s="72"/>
      <c r="Z423" s="72"/>
      <c r="AA423" s="72"/>
      <c r="AB423" s="72"/>
      <c r="AC423" s="72" t="str">
        <f>IF(N423=0,"",N423*X423)</f>
        <v/>
      </c>
      <c r="AD423" s="72"/>
      <c r="AE423" s="72"/>
      <c r="AF423" s="72"/>
      <c r="AG423" s="72"/>
      <c r="AH423" s="70">
        <v>2706.47</v>
      </c>
      <c r="AI423" s="114">
        <v>0.43185423080364149</v>
      </c>
      <c r="AJ423" s="114">
        <v>2.2907567967770704E-2</v>
      </c>
      <c r="AK423" s="91">
        <f>$AH423*AI423</f>
        <v>1168.8005200431314</v>
      </c>
      <c r="AL423" s="91">
        <f>$AH423*AJ423</f>
        <v>61.998645477732374</v>
      </c>
      <c r="AM423" s="48">
        <v>756.16728021428423</v>
      </c>
      <c r="AN423" s="48">
        <v>366.88056074268945</v>
      </c>
    </row>
    <row r="424" spans="1:44">
      <c r="A424" s="65">
        <v>423</v>
      </c>
      <c r="B424" s="110">
        <v>2017</v>
      </c>
      <c r="C424" s="115" t="s">
        <v>135</v>
      </c>
      <c r="D424" s="116" t="s">
        <v>105</v>
      </c>
      <c r="E424" s="112" t="s">
        <v>15</v>
      </c>
      <c r="F424" s="117" t="s">
        <v>35</v>
      </c>
      <c r="G424" s="116" t="s">
        <v>46</v>
      </c>
      <c r="H424" s="68">
        <v>42957</v>
      </c>
      <c r="I424" s="68">
        <v>42957</v>
      </c>
      <c r="J424" s="113"/>
      <c r="K424" s="70">
        <v>2.2000000000000002</v>
      </c>
      <c r="L424" s="48">
        <v>55</v>
      </c>
      <c r="M424" s="71"/>
      <c r="N424" s="71">
        <v>24.999999999999996</v>
      </c>
      <c r="O424" s="48" t="s">
        <v>5</v>
      </c>
      <c r="P424" s="72">
        <v>65.099999999999994</v>
      </c>
      <c r="Q424" s="72">
        <v>34.6</v>
      </c>
      <c r="R424" s="72"/>
      <c r="S424" s="72">
        <v>387.5</v>
      </c>
      <c r="T424" s="73">
        <v>5.95</v>
      </c>
      <c r="U424" s="72">
        <v>624.99999999999989</v>
      </c>
      <c r="V424" s="72">
        <f>S424*U424/1000</f>
        <v>242.18749999999994</v>
      </c>
      <c r="W424" s="72">
        <v>40.687499999999986</v>
      </c>
      <c r="X424" s="72">
        <v>2.5</v>
      </c>
      <c r="Y424" s="72"/>
      <c r="Z424" s="73">
        <v>28.69</v>
      </c>
      <c r="AA424" s="73">
        <v>79.02</v>
      </c>
      <c r="AB424" s="73">
        <v>7.66</v>
      </c>
      <c r="AC424" s="72"/>
      <c r="AD424" s="72"/>
      <c r="AE424" s="72"/>
      <c r="AF424" s="72"/>
      <c r="AG424" s="72"/>
      <c r="AH424" s="74"/>
      <c r="AI424" s="72"/>
      <c r="AJ424" s="72"/>
      <c r="AK424" s="72"/>
      <c r="AL424" s="72"/>
    </row>
    <row r="425" spans="1:44">
      <c r="A425" s="65">
        <v>424</v>
      </c>
      <c r="B425" s="110">
        <v>2017</v>
      </c>
      <c r="C425" s="115" t="s">
        <v>135</v>
      </c>
      <c r="D425" s="116" t="s">
        <v>105</v>
      </c>
      <c r="E425" s="112" t="s">
        <v>23</v>
      </c>
      <c r="F425" s="117" t="s">
        <v>33</v>
      </c>
      <c r="G425" s="116"/>
      <c r="H425" s="68">
        <v>42999</v>
      </c>
      <c r="I425" s="68">
        <v>42999</v>
      </c>
      <c r="J425" s="113">
        <v>4</v>
      </c>
      <c r="K425" s="70">
        <v>2.2000000000000002</v>
      </c>
      <c r="L425" s="71"/>
      <c r="M425" s="71"/>
      <c r="N425" s="71"/>
      <c r="P425" s="72"/>
      <c r="Q425" s="72"/>
      <c r="R425" s="72"/>
      <c r="S425" s="72"/>
      <c r="T425" s="72"/>
      <c r="U425" s="72"/>
      <c r="V425" s="72"/>
      <c r="W425" s="72"/>
      <c r="X425" s="72">
        <v>37</v>
      </c>
      <c r="Y425" s="72"/>
      <c r="Z425" s="72"/>
      <c r="AA425" s="72"/>
      <c r="AB425" s="72"/>
      <c r="AC425" s="72" t="str">
        <f>IF(N425=0,"",N425*X425)</f>
        <v/>
      </c>
      <c r="AD425" s="72"/>
      <c r="AE425" s="72"/>
      <c r="AF425" s="72"/>
      <c r="AG425" s="72"/>
      <c r="AH425" s="70">
        <v>2939.2</v>
      </c>
      <c r="AI425" s="114">
        <v>0.43185423080364149</v>
      </c>
      <c r="AJ425" s="114">
        <v>2.2907567967770704E-2</v>
      </c>
      <c r="AK425" s="91">
        <f>$AH425*AI425</f>
        <v>1269.305955178063</v>
      </c>
      <c r="AL425" s="91">
        <f>$AH425*AJ425</f>
        <v>67.329923770871645</v>
      </c>
      <c r="AM425" s="48">
        <v>436.29470162570851</v>
      </c>
      <c r="AN425" s="48">
        <v>366.88056074268945</v>
      </c>
    </row>
    <row r="426" spans="1:44">
      <c r="A426" s="65">
        <v>425</v>
      </c>
      <c r="B426" s="110">
        <v>2017</v>
      </c>
      <c r="C426" s="115" t="s">
        <v>135</v>
      </c>
      <c r="D426" s="116" t="s">
        <v>105</v>
      </c>
      <c r="E426" s="112" t="s">
        <v>23</v>
      </c>
      <c r="F426" s="117" t="s">
        <v>27</v>
      </c>
      <c r="G426" s="116" t="s">
        <v>45</v>
      </c>
      <c r="H426" s="68">
        <v>43057</v>
      </c>
      <c r="I426" s="68">
        <v>43068</v>
      </c>
      <c r="J426" s="113"/>
      <c r="K426" s="70">
        <v>2.2000000000000002</v>
      </c>
      <c r="L426" s="48">
        <v>50</v>
      </c>
      <c r="M426" s="71"/>
      <c r="N426" s="71">
        <f>L426/K426</f>
        <v>22.727272727272727</v>
      </c>
      <c r="O426" s="48" t="s">
        <v>64</v>
      </c>
      <c r="P426" s="72"/>
      <c r="Q426" s="72"/>
      <c r="R426" s="72"/>
      <c r="S426" s="72"/>
      <c r="T426" s="72"/>
      <c r="U426" s="72"/>
      <c r="V426" s="72"/>
      <c r="W426" s="72"/>
      <c r="X426" s="72"/>
      <c r="Y426" s="72"/>
      <c r="Z426" s="72"/>
      <c r="AA426" s="72"/>
      <c r="AB426" s="72"/>
      <c r="AC426" s="76">
        <f>AF426*N426*AG426</f>
        <v>375</v>
      </c>
      <c r="AD426" s="72">
        <f>IF(AC426=0,"",AC426*AI426)</f>
        <v>163.90725082793966</v>
      </c>
      <c r="AE426" s="72">
        <f>$AC426*AJ426</f>
        <v>10.188703613237861</v>
      </c>
      <c r="AF426" s="72">
        <f>I426-H426</f>
        <v>11</v>
      </c>
      <c r="AG426" s="72">
        <v>1.5</v>
      </c>
      <c r="AH426" s="125">
        <v>375</v>
      </c>
      <c r="AI426" s="114">
        <v>0.43708600220783911</v>
      </c>
      <c r="AJ426" s="114">
        <v>2.7169876301967627E-2</v>
      </c>
      <c r="AK426" s="91"/>
      <c r="AL426" s="91"/>
    </row>
    <row r="427" spans="1:44">
      <c r="A427" s="65">
        <v>426</v>
      </c>
      <c r="B427" s="110">
        <v>2017</v>
      </c>
      <c r="C427" s="118" t="s">
        <v>136</v>
      </c>
      <c r="D427" s="116" t="s">
        <v>105</v>
      </c>
      <c r="E427" s="112" t="s">
        <v>23</v>
      </c>
      <c r="F427" s="117" t="s">
        <v>33</v>
      </c>
      <c r="G427" s="116" t="s">
        <v>34</v>
      </c>
      <c r="H427" s="68">
        <v>42872</v>
      </c>
      <c r="I427" s="68">
        <v>42873</v>
      </c>
      <c r="J427" s="113">
        <v>1</v>
      </c>
      <c r="K427" s="70">
        <v>2.7</v>
      </c>
      <c r="L427" s="71"/>
      <c r="M427" s="71"/>
      <c r="N427" s="71"/>
      <c r="P427" s="72"/>
      <c r="Q427" s="72"/>
      <c r="R427" s="72"/>
      <c r="S427" s="72"/>
      <c r="T427" s="72"/>
      <c r="U427" s="72"/>
      <c r="V427" s="72"/>
      <c r="W427" s="72"/>
      <c r="X427" s="72">
        <v>37</v>
      </c>
      <c r="Y427" s="72"/>
      <c r="Z427" s="72"/>
      <c r="AA427" s="72"/>
      <c r="AB427" s="72"/>
      <c r="AC427" s="72" t="str">
        <f>IF(N427=0,"",N427*X427)</f>
        <v/>
      </c>
      <c r="AD427" s="72"/>
      <c r="AE427" s="72"/>
      <c r="AF427" s="72"/>
      <c r="AG427" s="72"/>
      <c r="AH427" s="70">
        <v>5121.0999999999995</v>
      </c>
      <c r="AI427" s="72">
        <v>0.44010759513872183</v>
      </c>
      <c r="AJ427" s="114">
        <v>2.7169876301967627E-2</v>
      </c>
      <c r="AK427" s="91">
        <f t="shared" ref="AK427:AL430" si="20">$AH427*AI427</f>
        <v>2253.8350054649081</v>
      </c>
      <c r="AL427" s="91">
        <f t="shared" si="20"/>
        <v>139.1396535300064</v>
      </c>
      <c r="AM427" s="48">
        <v>954.28256355815029</v>
      </c>
      <c r="AN427" s="48">
        <v>441.04909429991511</v>
      </c>
    </row>
    <row r="428" spans="1:44">
      <c r="A428" s="65">
        <v>427</v>
      </c>
      <c r="B428" s="110">
        <v>2017</v>
      </c>
      <c r="C428" s="118" t="s">
        <v>136</v>
      </c>
      <c r="D428" s="116" t="s">
        <v>105</v>
      </c>
      <c r="E428" s="112" t="s">
        <v>23</v>
      </c>
      <c r="F428" s="117" t="s">
        <v>33</v>
      </c>
      <c r="G428" s="116"/>
      <c r="H428" s="68">
        <v>42906</v>
      </c>
      <c r="I428" s="68">
        <v>42906</v>
      </c>
      <c r="J428" s="113">
        <v>2</v>
      </c>
      <c r="K428" s="70">
        <v>2.7</v>
      </c>
      <c r="L428" s="71"/>
      <c r="M428" s="71"/>
      <c r="N428" s="71"/>
      <c r="P428" s="72"/>
      <c r="Q428" s="72"/>
      <c r="R428" s="72"/>
      <c r="S428" s="72"/>
      <c r="T428" s="72"/>
      <c r="U428" s="72"/>
      <c r="V428" s="72"/>
      <c r="W428" s="72"/>
      <c r="X428" s="72">
        <v>37</v>
      </c>
      <c r="Y428" s="72"/>
      <c r="Z428" s="72"/>
      <c r="AA428" s="72"/>
      <c r="AB428" s="72"/>
      <c r="AC428" s="72" t="str">
        <f>IF(N428=0,"",N428*X428)</f>
        <v/>
      </c>
      <c r="AD428" s="72"/>
      <c r="AE428" s="72"/>
      <c r="AF428" s="72"/>
      <c r="AG428" s="72"/>
      <c r="AH428" s="70">
        <v>3028.6</v>
      </c>
      <c r="AI428" s="72">
        <v>0.43862154461877439</v>
      </c>
      <c r="AJ428" s="114">
        <v>2.7169876301967627E-2</v>
      </c>
      <c r="AK428" s="91">
        <f t="shared" si="20"/>
        <v>1328.4092100324201</v>
      </c>
      <c r="AL428" s="91">
        <f t="shared" si="20"/>
        <v>82.286687368139155</v>
      </c>
      <c r="AM428" s="48">
        <v>971.66217265970499</v>
      </c>
      <c r="AN428" s="48">
        <v>441.04909429991511</v>
      </c>
    </row>
    <row r="429" spans="1:44">
      <c r="A429" s="65">
        <v>428</v>
      </c>
      <c r="B429" s="110">
        <v>2017</v>
      </c>
      <c r="C429" s="118" t="s">
        <v>136</v>
      </c>
      <c r="D429" s="116" t="s">
        <v>105</v>
      </c>
      <c r="E429" s="112" t="s">
        <v>23</v>
      </c>
      <c r="F429" s="117" t="s">
        <v>33</v>
      </c>
      <c r="G429" s="116"/>
      <c r="H429" s="68">
        <v>42949</v>
      </c>
      <c r="I429" s="68">
        <v>42949</v>
      </c>
      <c r="J429" s="113">
        <v>3</v>
      </c>
      <c r="K429" s="70">
        <v>2.7</v>
      </c>
      <c r="L429" s="71"/>
      <c r="M429" s="71"/>
      <c r="N429" s="71"/>
      <c r="P429" s="72"/>
      <c r="Q429" s="72"/>
      <c r="R429" s="72"/>
      <c r="S429" s="72"/>
      <c r="T429" s="72"/>
      <c r="U429" s="72"/>
      <c r="V429" s="72"/>
      <c r="W429" s="72"/>
      <c r="X429" s="72">
        <v>37</v>
      </c>
      <c r="Y429" s="72"/>
      <c r="Z429" s="72"/>
      <c r="AA429" s="72"/>
      <c r="AB429" s="72"/>
      <c r="AC429" s="72" t="str">
        <f>IF(N429=0,"",N429*X429)</f>
        <v/>
      </c>
      <c r="AD429" s="72"/>
      <c r="AE429" s="72"/>
      <c r="AF429" s="72"/>
      <c r="AG429" s="72"/>
      <c r="AH429" s="70">
        <v>2480.8199999999997</v>
      </c>
      <c r="AI429" s="72">
        <v>0.43252886686602099</v>
      </c>
      <c r="AJ429" s="114">
        <v>2.7169876301967627E-2</v>
      </c>
      <c r="AK429" s="91">
        <f t="shared" si="20"/>
        <v>1073.026263498562</v>
      </c>
      <c r="AL429" s="91">
        <f t="shared" si="20"/>
        <v>67.403572527447324</v>
      </c>
      <c r="AM429" s="48">
        <v>427.71316660688535</v>
      </c>
      <c r="AN429" s="48">
        <v>217.71668742161492</v>
      </c>
    </row>
    <row r="430" spans="1:44">
      <c r="A430" s="65">
        <v>429</v>
      </c>
      <c r="B430" s="110">
        <v>2017</v>
      </c>
      <c r="C430" s="118" t="s">
        <v>136</v>
      </c>
      <c r="D430" s="116" t="s">
        <v>105</v>
      </c>
      <c r="E430" s="112" t="s">
        <v>23</v>
      </c>
      <c r="F430" s="117" t="s">
        <v>33</v>
      </c>
      <c r="G430" s="116"/>
      <c r="H430" s="68">
        <v>42999</v>
      </c>
      <c r="I430" s="68">
        <v>42999</v>
      </c>
      <c r="J430" s="113">
        <v>4</v>
      </c>
      <c r="K430" s="70">
        <v>2.7</v>
      </c>
      <c r="L430" s="71"/>
      <c r="M430" s="71"/>
      <c r="N430" s="71"/>
      <c r="P430" s="72"/>
      <c r="Q430" s="72"/>
      <c r="R430" s="72"/>
      <c r="S430" s="72"/>
      <c r="T430" s="72"/>
      <c r="U430" s="72"/>
      <c r="V430" s="72"/>
      <c r="W430" s="72"/>
      <c r="X430" s="72">
        <v>37</v>
      </c>
      <c r="Y430" s="72"/>
      <c r="Z430" s="72"/>
      <c r="AA430" s="72"/>
      <c r="AB430" s="72"/>
      <c r="AC430" s="72" t="str">
        <f>IF(N430=0,"",N430*X430)</f>
        <v/>
      </c>
      <c r="AD430" s="72"/>
      <c r="AE430" s="72"/>
      <c r="AF430" s="72"/>
      <c r="AG430" s="72"/>
      <c r="AH430" s="70">
        <v>2959.3</v>
      </c>
      <c r="AI430" s="114">
        <f>AVERAGE(AI427:AI429)</f>
        <v>0.43708600220783911</v>
      </c>
      <c r="AJ430" s="114">
        <v>2.7169876301967627E-2</v>
      </c>
      <c r="AK430" s="91">
        <f t="shared" si="20"/>
        <v>1293.4686063336583</v>
      </c>
      <c r="AL430" s="91">
        <f>$AH430*AJ430</f>
        <v>80.403814940412801</v>
      </c>
      <c r="AM430" s="48">
        <v>911.56800806814886</v>
      </c>
      <c r="AN430" s="48">
        <v>217.71668742161492</v>
      </c>
    </row>
    <row r="431" spans="1:44">
      <c r="A431" s="65">
        <v>430</v>
      </c>
      <c r="B431" s="119">
        <v>2017</v>
      </c>
      <c r="C431" s="118" t="s">
        <v>136</v>
      </c>
      <c r="D431" s="116" t="s">
        <v>105</v>
      </c>
      <c r="E431" s="112" t="s">
        <v>23</v>
      </c>
      <c r="F431" s="117" t="s">
        <v>27</v>
      </c>
      <c r="G431" s="116" t="s">
        <v>45</v>
      </c>
      <c r="H431" s="68">
        <v>43027</v>
      </c>
      <c r="I431" s="68">
        <v>43037</v>
      </c>
      <c r="J431" s="113"/>
      <c r="K431" s="70">
        <v>2.7</v>
      </c>
      <c r="L431" s="48">
        <v>50</v>
      </c>
      <c r="M431" s="71"/>
      <c r="N431" s="71">
        <f>L431/K431</f>
        <v>18.518518518518519</v>
      </c>
      <c r="O431" s="48" t="s">
        <v>64</v>
      </c>
      <c r="P431" s="72"/>
      <c r="Q431" s="72"/>
      <c r="R431" s="72"/>
      <c r="S431" s="72"/>
      <c r="T431" s="72"/>
      <c r="U431" s="72"/>
      <c r="V431" s="72"/>
      <c r="W431" s="72"/>
      <c r="X431" s="72"/>
      <c r="Y431" s="72"/>
      <c r="Z431" s="72"/>
      <c r="AA431" s="72"/>
      <c r="AB431" s="72"/>
      <c r="AC431" s="76">
        <f>AF431*N431*AG431</f>
        <v>277.77777777777777</v>
      </c>
      <c r="AD431" s="72">
        <f>IF(AC431=0,"",AC431*AI431)</f>
        <v>121.41277839106641</v>
      </c>
      <c r="AE431" s="72">
        <f>$AC431*AJ431</f>
        <v>7.5471878616576742</v>
      </c>
      <c r="AF431" s="72">
        <f>I431-H431</f>
        <v>10</v>
      </c>
      <c r="AG431" s="72">
        <v>1.5</v>
      </c>
      <c r="AH431" s="125">
        <v>277.8</v>
      </c>
      <c r="AI431" s="114">
        <v>0.43708600220783911</v>
      </c>
      <c r="AJ431" s="114">
        <v>2.7169876301967627E-2</v>
      </c>
      <c r="AK431" s="91"/>
      <c r="AL431" s="91"/>
    </row>
    <row r="432" spans="1:44">
      <c r="A432" s="65">
        <v>431</v>
      </c>
      <c r="B432" s="120">
        <v>2018</v>
      </c>
      <c r="C432" s="115" t="s">
        <v>135</v>
      </c>
      <c r="D432" s="112" t="s">
        <v>105</v>
      </c>
      <c r="E432" s="112" t="s">
        <v>15</v>
      </c>
      <c r="F432" s="116" t="s">
        <v>35</v>
      </c>
      <c r="G432" s="116" t="s">
        <v>46</v>
      </c>
      <c r="H432" s="68">
        <v>43199</v>
      </c>
      <c r="I432" s="68">
        <v>43199</v>
      </c>
      <c r="J432" s="113"/>
      <c r="K432" s="121">
        <v>2.2000000000000002</v>
      </c>
      <c r="L432" s="48">
        <f>N432*K432</f>
        <v>88</v>
      </c>
      <c r="M432" s="71"/>
      <c r="N432" s="122">
        <v>40</v>
      </c>
      <c r="O432" s="48" t="s">
        <v>5</v>
      </c>
      <c r="P432" s="72">
        <v>73.599999999999994</v>
      </c>
      <c r="Q432" s="72">
        <v>44.2</v>
      </c>
      <c r="R432" s="72"/>
      <c r="S432" s="72">
        <v>374.1</v>
      </c>
      <c r="T432" s="73">
        <v>5.09</v>
      </c>
      <c r="U432" s="72">
        <v>1240</v>
      </c>
      <c r="V432" s="72">
        <f>S432*U432/1000</f>
        <v>463.88400000000001</v>
      </c>
      <c r="W432" s="72">
        <v>91.263999999999996</v>
      </c>
      <c r="X432" s="72">
        <v>3.1</v>
      </c>
      <c r="Y432" s="72"/>
      <c r="Z432" s="73">
        <v>28.8</v>
      </c>
      <c r="AA432" s="73">
        <v>87.28</v>
      </c>
      <c r="AB432" s="73">
        <v>8.16</v>
      </c>
      <c r="AC432" s="72"/>
      <c r="AD432" s="72"/>
      <c r="AE432" s="72"/>
      <c r="AF432" s="72"/>
      <c r="AG432" s="72"/>
      <c r="AH432" s="74"/>
      <c r="AI432" s="72"/>
      <c r="AJ432" s="72"/>
      <c r="AK432" s="72"/>
      <c r="AL432" s="72"/>
    </row>
    <row r="433" spans="1:44">
      <c r="A433" s="65">
        <v>432</v>
      </c>
      <c r="B433" s="120">
        <v>2018</v>
      </c>
      <c r="C433" s="115" t="s">
        <v>135</v>
      </c>
      <c r="D433" s="116" t="s">
        <v>105</v>
      </c>
      <c r="E433" s="112" t="s">
        <v>23</v>
      </c>
      <c r="F433" s="116" t="s">
        <v>33</v>
      </c>
      <c r="G433" s="116" t="s">
        <v>34</v>
      </c>
      <c r="H433" s="68">
        <v>43217</v>
      </c>
      <c r="I433" s="68">
        <v>43217</v>
      </c>
      <c r="J433" s="113">
        <v>1</v>
      </c>
      <c r="K433" s="70">
        <v>2.2000000000000002</v>
      </c>
      <c r="L433" s="48">
        <f>N433*K433</f>
        <v>66</v>
      </c>
      <c r="M433" s="71"/>
      <c r="N433" s="71">
        <v>30</v>
      </c>
      <c r="O433" s="48" t="s">
        <v>80</v>
      </c>
      <c r="P433" s="72"/>
      <c r="Q433" s="72"/>
      <c r="R433" s="72"/>
      <c r="S433" s="72"/>
      <c r="T433" s="72"/>
      <c r="U433" s="72"/>
      <c r="V433" s="72"/>
      <c r="W433" s="72"/>
      <c r="X433" s="72">
        <v>37</v>
      </c>
      <c r="Y433" s="72"/>
      <c r="Z433" s="72"/>
      <c r="AA433" s="72"/>
      <c r="AB433" s="72"/>
      <c r="AC433" s="72">
        <f>IF(N433=0,"",N433*X433)</f>
        <v>1110</v>
      </c>
      <c r="AD433" s="72">
        <f>IF(AC433=0,"",AC433*AI433)</f>
        <v>499.93995396820077</v>
      </c>
      <c r="AE433" s="72">
        <f>$AC433*AJ433</f>
        <v>25.815833575353285</v>
      </c>
      <c r="AF433" s="72"/>
      <c r="AG433" s="72"/>
      <c r="AH433" s="70">
        <v>3718.8999999999992</v>
      </c>
      <c r="AI433" s="72">
        <v>0.45039635492630697</v>
      </c>
      <c r="AJ433" s="72">
        <v>2.32575077255435E-2</v>
      </c>
      <c r="AK433" s="91">
        <f>$AH433*AI433</f>
        <v>1674.9790043354426</v>
      </c>
      <c r="AL433" s="91">
        <f>$AH433*AJ433</f>
        <v>86.49234548052371</v>
      </c>
      <c r="AM433" s="91">
        <v>941.85802775388879</v>
      </c>
      <c r="AN433" s="91">
        <v>499.68296929502753</v>
      </c>
    </row>
    <row r="434" spans="1:44">
      <c r="A434" s="65">
        <v>433</v>
      </c>
      <c r="B434" s="120">
        <v>2018</v>
      </c>
      <c r="C434" s="115" t="s">
        <v>135</v>
      </c>
      <c r="D434" s="116" t="s">
        <v>105</v>
      </c>
      <c r="E434" s="112" t="s">
        <v>15</v>
      </c>
      <c r="F434" s="116" t="s">
        <v>35</v>
      </c>
      <c r="G434" s="116" t="s">
        <v>46</v>
      </c>
      <c r="H434" s="68">
        <v>43234</v>
      </c>
      <c r="I434" s="68">
        <v>43234</v>
      </c>
      <c r="J434" s="113"/>
      <c r="K434" s="121">
        <v>2.2000000000000002</v>
      </c>
      <c r="L434" s="48">
        <f>N434*K434</f>
        <v>77</v>
      </c>
      <c r="M434" s="71"/>
      <c r="N434" s="122">
        <v>35</v>
      </c>
      <c r="O434" s="48" t="s">
        <v>5</v>
      </c>
      <c r="P434" s="72">
        <v>68</v>
      </c>
      <c r="Q434" s="72">
        <v>39.1</v>
      </c>
      <c r="R434" s="72"/>
      <c r="S434" s="72">
        <v>372.7</v>
      </c>
      <c r="T434" s="73">
        <v>5.48</v>
      </c>
      <c r="U434" s="72">
        <v>1190</v>
      </c>
      <c r="V434" s="72">
        <f>S434*U434/1000</f>
        <v>443.51299999999998</v>
      </c>
      <c r="W434" s="72">
        <v>80.92</v>
      </c>
      <c r="X434" s="72">
        <v>3.4</v>
      </c>
      <c r="Y434" s="72"/>
      <c r="Z434" s="73">
        <v>26.24</v>
      </c>
      <c r="AA434" s="73">
        <v>78.66</v>
      </c>
      <c r="AB434" s="73">
        <v>7.74</v>
      </c>
      <c r="AC434" s="72"/>
      <c r="AD434" s="72"/>
      <c r="AE434" s="72"/>
      <c r="AF434" s="72"/>
      <c r="AG434" s="72"/>
      <c r="AH434" s="74"/>
      <c r="AI434" s="72"/>
      <c r="AJ434" s="72"/>
      <c r="AK434" s="72"/>
      <c r="AL434" s="72"/>
      <c r="AM434" s="72"/>
      <c r="AN434" s="72"/>
    </row>
    <row r="435" spans="1:44">
      <c r="A435" s="65">
        <v>434</v>
      </c>
      <c r="B435" s="120">
        <v>2018</v>
      </c>
      <c r="C435" s="115" t="s">
        <v>135</v>
      </c>
      <c r="D435" s="116" t="s">
        <v>105</v>
      </c>
      <c r="E435" s="112" t="s">
        <v>23</v>
      </c>
      <c r="F435" s="117" t="s">
        <v>33</v>
      </c>
      <c r="G435" s="116" t="s">
        <v>43</v>
      </c>
      <c r="H435" s="68">
        <v>43260</v>
      </c>
      <c r="I435" s="68">
        <v>43260</v>
      </c>
      <c r="J435" s="113">
        <v>2</v>
      </c>
      <c r="K435" s="70">
        <v>2.2000000000000002</v>
      </c>
      <c r="L435" s="71"/>
      <c r="M435" s="71"/>
      <c r="N435" s="71"/>
      <c r="P435" s="72"/>
      <c r="Q435" s="72"/>
      <c r="R435" s="72"/>
      <c r="S435" s="72"/>
      <c r="T435" s="72"/>
      <c r="U435" s="72"/>
      <c r="V435" s="72"/>
      <c r="W435" s="72"/>
      <c r="X435" s="72">
        <v>86</v>
      </c>
      <c r="Y435" s="72"/>
      <c r="Z435" s="72"/>
      <c r="AA435" s="72"/>
      <c r="AB435" s="72"/>
      <c r="AC435" s="72" t="str">
        <f>IF(N435=0,"",N435*X435)</f>
        <v/>
      </c>
      <c r="AD435" s="72"/>
      <c r="AE435" s="72"/>
      <c r="AF435" s="72"/>
      <c r="AG435" s="72"/>
      <c r="AH435" s="70">
        <v>1991.2</v>
      </c>
      <c r="AI435" s="72">
        <v>0.44258494477743499</v>
      </c>
      <c r="AJ435" s="72">
        <v>2.3753334696383299E-2</v>
      </c>
      <c r="AK435" s="91">
        <f>$AH435*AI435</f>
        <v>881.27514204082854</v>
      </c>
      <c r="AL435" s="91">
        <f>$AH435*AJ435</f>
        <v>47.297640047438428</v>
      </c>
      <c r="AM435" s="91">
        <v>834.43617690829581</v>
      </c>
      <c r="AN435" s="91">
        <v>420.65227041848942</v>
      </c>
    </row>
    <row r="436" spans="1:44">
      <c r="A436" s="65">
        <v>435</v>
      </c>
      <c r="B436" s="120">
        <v>2018</v>
      </c>
      <c r="C436" s="115" t="s">
        <v>135</v>
      </c>
      <c r="D436" s="116" t="s">
        <v>105</v>
      </c>
      <c r="E436" s="112" t="s">
        <v>15</v>
      </c>
      <c r="F436" s="117" t="s">
        <v>35</v>
      </c>
      <c r="G436" s="116" t="s">
        <v>46</v>
      </c>
      <c r="H436" s="68">
        <v>43276</v>
      </c>
      <c r="I436" s="68">
        <v>43276</v>
      </c>
      <c r="J436" s="113"/>
      <c r="K436" s="121">
        <v>2.2000000000000002</v>
      </c>
      <c r="L436" s="48">
        <f>N436*K436</f>
        <v>44</v>
      </c>
      <c r="M436" s="71"/>
      <c r="N436" s="122">
        <v>20</v>
      </c>
      <c r="O436" s="48" t="s">
        <v>5</v>
      </c>
      <c r="P436" s="72">
        <v>66.599999999999994</v>
      </c>
      <c r="Q436" s="72">
        <v>43</v>
      </c>
      <c r="R436" s="72"/>
      <c r="S436" s="72">
        <v>338</v>
      </c>
      <c r="T436" s="73">
        <v>5.08</v>
      </c>
      <c r="U436" s="72">
        <v>740</v>
      </c>
      <c r="V436" s="72">
        <f>S436*U436/1000</f>
        <v>250.12</v>
      </c>
      <c r="W436" s="72">
        <v>49.283999999999992</v>
      </c>
      <c r="X436" s="72">
        <v>3.7</v>
      </c>
      <c r="Y436" s="72"/>
      <c r="Z436" s="73">
        <v>28.55</v>
      </c>
      <c r="AA436" s="73">
        <v>92.19</v>
      </c>
      <c r="AB436" s="73">
        <v>7.88</v>
      </c>
      <c r="AC436" s="72"/>
      <c r="AD436" s="72"/>
      <c r="AE436" s="72"/>
      <c r="AF436" s="72"/>
      <c r="AG436" s="72"/>
      <c r="AH436" s="74"/>
      <c r="AI436" s="72"/>
      <c r="AJ436" s="72"/>
      <c r="AK436" s="72"/>
      <c r="AL436" s="91"/>
      <c r="AM436" s="91"/>
      <c r="AN436" s="91"/>
    </row>
    <row r="437" spans="1:44">
      <c r="A437" s="65">
        <v>436</v>
      </c>
      <c r="B437" s="120">
        <v>2018</v>
      </c>
      <c r="C437" s="115" t="s">
        <v>135</v>
      </c>
      <c r="D437" s="116" t="s">
        <v>105</v>
      </c>
      <c r="E437" s="112" t="s">
        <v>23</v>
      </c>
      <c r="F437" s="117" t="s">
        <v>33</v>
      </c>
      <c r="G437" s="116" t="s">
        <v>41</v>
      </c>
      <c r="H437" s="68">
        <v>43353</v>
      </c>
      <c r="I437" s="68">
        <v>43353</v>
      </c>
      <c r="J437" s="113">
        <v>3</v>
      </c>
      <c r="K437" s="70">
        <v>2.2000000000000002</v>
      </c>
      <c r="L437" s="71"/>
      <c r="M437" s="71"/>
      <c r="N437" s="71"/>
      <c r="P437" s="72"/>
      <c r="Q437" s="72"/>
      <c r="R437" s="72"/>
      <c r="S437" s="72"/>
      <c r="T437" s="72"/>
      <c r="U437" s="72"/>
      <c r="V437" s="72"/>
      <c r="W437" s="72"/>
      <c r="X437" s="72">
        <v>70</v>
      </c>
      <c r="Y437" s="72"/>
      <c r="Z437" s="72"/>
      <c r="AA437" s="72"/>
      <c r="AB437" s="72"/>
      <c r="AC437" s="72" t="str">
        <f>IF(N437=0,"",N437*X437)</f>
        <v/>
      </c>
      <c r="AD437" s="72"/>
      <c r="AE437" s="72"/>
      <c r="AF437" s="72"/>
      <c r="AG437" s="72"/>
      <c r="AH437" s="70">
        <v>1162.8</v>
      </c>
      <c r="AI437" s="72">
        <v>0.442845790379293</v>
      </c>
      <c r="AJ437" s="72">
        <v>3.8950490683359699E-2</v>
      </c>
      <c r="AK437" s="91">
        <f>$AH437*AI437</f>
        <v>514.94108505304189</v>
      </c>
      <c r="AL437" s="91">
        <f>$AH437*AJ437</f>
        <v>45.291630566610657</v>
      </c>
      <c r="AM437" s="91">
        <v>477.58694380069568</v>
      </c>
      <c r="AN437" s="91">
        <v>136.26300239086797</v>
      </c>
    </row>
    <row r="438" spans="1:44">
      <c r="A438" s="65">
        <v>437</v>
      </c>
      <c r="B438" s="120">
        <v>2018</v>
      </c>
      <c r="C438" s="115" t="s">
        <v>135</v>
      </c>
      <c r="D438" s="116" t="s">
        <v>105</v>
      </c>
      <c r="E438" s="112" t="s">
        <v>15</v>
      </c>
      <c r="F438" s="117" t="s">
        <v>35</v>
      </c>
      <c r="G438" s="116" t="s">
        <v>46</v>
      </c>
      <c r="H438" s="68">
        <v>43370</v>
      </c>
      <c r="I438" s="68">
        <v>43370</v>
      </c>
      <c r="J438" s="113"/>
      <c r="K438" s="121">
        <v>2.2000000000000002</v>
      </c>
      <c r="L438" s="48">
        <f>N438*K438</f>
        <v>88</v>
      </c>
      <c r="M438" s="71"/>
      <c r="N438" s="122">
        <v>40</v>
      </c>
      <c r="O438" s="48" t="s">
        <v>5</v>
      </c>
      <c r="P438" s="72">
        <v>70.5</v>
      </c>
      <c r="Q438" s="72">
        <v>42.5</v>
      </c>
      <c r="R438" s="72"/>
      <c r="S438" s="72">
        <v>347.1</v>
      </c>
      <c r="T438" s="73">
        <v>4.93</v>
      </c>
      <c r="U438" s="72">
        <f>N438*1000*X438/100</f>
        <v>1120</v>
      </c>
      <c r="V438" s="72">
        <f>S438*U438/1000</f>
        <v>388.75200000000001</v>
      </c>
      <c r="W438" s="72">
        <f>P438*U438/1000</f>
        <v>78.959999999999994</v>
      </c>
      <c r="X438" s="72">
        <v>2.8</v>
      </c>
      <c r="Y438" s="72"/>
      <c r="Z438" s="73">
        <v>23.07</v>
      </c>
      <c r="AA438" s="73">
        <v>49.88</v>
      </c>
      <c r="AB438" s="73">
        <v>7.17</v>
      </c>
      <c r="AC438" s="72"/>
      <c r="AD438" s="72"/>
      <c r="AE438" s="72"/>
      <c r="AF438" s="72"/>
      <c r="AG438" s="72"/>
      <c r="AH438" s="74"/>
      <c r="AI438" s="72"/>
      <c r="AJ438" s="72"/>
      <c r="AK438" s="72"/>
      <c r="AL438" s="91"/>
      <c r="AM438" s="91"/>
      <c r="AN438" s="91"/>
    </row>
    <row r="439" spans="1:44">
      <c r="A439" s="65">
        <v>438</v>
      </c>
      <c r="B439" s="120">
        <v>2018</v>
      </c>
      <c r="C439" s="115" t="s">
        <v>135</v>
      </c>
      <c r="D439" s="116" t="s">
        <v>105</v>
      </c>
      <c r="E439" s="112" t="s">
        <v>23</v>
      </c>
      <c r="F439" s="117" t="s">
        <v>33</v>
      </c>
      <c r="G439" s="116" t="s">
        <v>34</v>
      </c>
      <c r="H439" s="68">
        <v>43395</v>
      </c>
      <c r="I439" s="68">
        <v>43395</v>
      </c>
      <c r="J439" s="113">
        <v>4</v>
      </c>
      <c r="K439" s="70">
        <v>2.2000000000000002</v>
      </c>
      <c r="L439" s="71"/>
      <c r="M439" s="71"/>
      <c r="N439" s="71"/>
      <c r="P439" s="72"/>
      <c r="Q439" s="72"/>
      <c r="R439" s="72"/>
      <c r="S439" s="72"/>
      <c r="T439" s="72"/>
      <c r="U439" s="72"/>
      <c r="V439" s="72"/>
      <c r="W439" s="72"/>
      <c r="X439" s="72">
        <v>37</v>
      </c>
      <c r="Y439" s="72"/>
      <c r="Z439" s="72"/>
      <c r="AA439" s="72"/>
      <c r="AB439" s="72"/>
      <c r="AC439" s="72" t="str">
        <f>IF(N439=0,"",N439*X439)</f>
        <v/>
      </c>
      <c r="AD439" s="72"/>
      <c r="AE439" s="72"/>
      <c r="AF439" s="72"/>
      <c r="AG439" s="72"/>
      <c r="AH439" s="70">
        <v>738.4</v>
      </c>
      <c r="AI439" s="72">
        <v>0.42641395611946398</v>
      </c>
      <c r="AJ439" s="72">
        <v>2.67236094709793E-2</v>
      </c>
      <c r="AK439" s="91">
        <f>$AH439*AI439</f>
        <v>314.8640651986122</v>
      </c>
      <c r="AL439" s="91">
        <f>$AH439*AJ439</f>
        <v>19.732713233371115</v>
      </c>
      <c r="AM439" s="91">
        <v>321.67174434679703</v>
      </c>
      <c r="AN439" s="91">
        <v>37.53916352591591</v>
      </c>
    </row>
    <row r="440" spans="1:44">
      <c r="A440" s="65">
        <v>439</v>
      </c>
      <c r="B440" s="120">
        <v>2018</v>
      </c>
      <c r="C440" s="115" t="s">
        <v>135</v>
      </c>
      <c r="D440" s="116" t="s">
        <v>105</v>
      </c>
      <c r="E440" s="112" t="s">
        <v>15</v>
      </c>
      <c r="F440" s="117" t="s">
        <v>35</v>
      </c>
      <c r="G440" s="116" t="s">
        <v>46</v>
      </c>
      <c r="H440" s="68">
        <v>43418</v>
      </c>
      <c r="I440" s="68">
        <v>43418</v>
      </c>
      <c r="J440" s="113"/>
      <c r="K440" s="123">
        <v>2.2000000000000002</v>
      </c>
      <c r="L440" s="124"/>
      <c r="M440" s="153" t="s">
        <v>190</v>
      </c>
      <c r="N440" s="124">
        <v>35</v>
      </c>
      <c r="O440" s="82" t="s">
        <v>5</v>
      </c>
      <c r="P440" s="114">
        <v>70.5</v>
      </c>
      <c r="Q440" s="114">
        <v>42.5</v>
      </c>
      <c r="R440" s="114"/>
      <c r="S440" s="114">
        <v>347.1</v>
      </c>
      <c r="T440" s="125">
        <v>4.93</v>
      </c>
      <c r="U440" s="114">
        <f>N440*1000*X440/100</f>
        <v>980</v>
      </c>
      <c r="V440" s="114">
        <f>S440*U440/1000</f>
        <v>340.15800000000002</v>
      </c>
      <c r="W440" s="114">
        <f>P440*U440/1000</f>
        <v>69.09</v>
      </c>
      <c r="X440" s="114">
        <v>2.8</v>
      </c>
      <c r="Y440" s="114"/>
      <c r="Z440" s="125">
        <v>23.07</v>
      </c>
      <c r="AA440" s="125">
        <v>49.88</v>
      </c>
      <c r="AB440" s="125">
        <v>7.17</v>
      </c>
      <c r="AC440" s="114"/>
      <c r="AD440" s="114"/>
      <c r="AE440" s="114"/>
      <c r="AF440" s="114"/>
      <c r="AG440" s="114"/>
      <c r="AH440" s="126"/>
      <c r="AI440" s="114"/>
      <c r="AJ440" s="114"/>
      <c r="AK440" s="114"/>
      <c r="AL440" s="127"/>
      <c r="AM440" s="127"/>
      <c r="AN440" s="127"/>
      <c r="AO440" s="82"/>
      <c r="AP440" s="82"/>
      <c r="AQ440" s="82"/>
      <c r="AR440" s="82"/>
    </row>
    <row r="441" spans="1:44">
      <c r="A441" s="65">
        <v>440</v>
      </c>
      <c r="B441" s="120">
        <v>2018</v>
      </c>
      <c r="C441" s="118" t="s">
        <v>136</v>
      </c>
      <c r="D441" s="116" t="s">
        <v>105</v>
      </c>
      <c r="E441" s="112" t="s">
        <v>23</v>
      </c>
      <c r="F441" s="117" t="s">
        <v>33</v>
      </c>
      <c r="G441" s="112" t="s">
        <v>34</v>
      </c>
      <c r="H441" s="68">
        <v>43217</v>
      </c>
      <c r="I441" s="68">
        <v>43217</v>
      </c>
      <c r="J441" s="113">
        <v>1</v>
      </c>
      <c r="K441" s="70">
        <v>2.61</v>
      </c>
      <c r="L441" s="71">
        <v>78.3</v>
      </c>
      <c r="M441" s="71"/>
      <c r="N441" s="71">
        <v>30</v>
      </c>
      <c r="O441" s="48" t="s">
        <v>80</v>
      </c>
      <c r="Q441" s="72"/>
      <c r="R441" s="72"/>
      <c r="S441" s="72"/>
      <c r="T441" s="72"/>
      <c r="U441" s="72"/>
      <c r="V441" s="72"/>
      <c r="W441" s="72"/>
      <c r="X441" s="72">
        <v>37</v>
      </c>
      <c r="Y441" s="72"/>
      <c r="Z441" s="72"/>
      <c r="AA441" s="72"/>
      <c r="AB441" s="72"/>
      <c r="AC441" s="72">
        <f>IF(N441=0,"",N441*X441)</f>
        <v>1110</v>
      </c>
      <c r="AD441" s="72">
        <f>IF(AC441=0,"",AC441*AI441)</f>
        <v>501.49289797226714</v>
      </c>
      <c r="AE441" s="72">
        <f>$AC441*AJ441</f>
        <v>21.042463594385826</v>
      </c>
      <c r="AF441" s="72"/>
      <c r="AG441" s="72"/>
      <c r="AH441" s="70">
        <v>2855.7</v>
      </c>
      <c r="AI441" s="72">
        <v>0.45179540357861903</v>
      </c>
      <c r="AJ441" s="72">
        <v>1.8957174409356601E-2</v>
      </c>
      <c r="AK441" s="91">
        <f t="shared" ref="AK441:AL443" si="21">$AH441*AI441</f>
        <v>1290.1921339994622</v>
      </c>
      <c r="AL441" s="91">
        <f t="shared" si="21"/>
        <v>54.136002960799644</v>
      </c>
      <c r="AM441" s="91">
        <v>946.87615639826504</v>
      </c>
      <c r="AN441" s="91">
        <v>575.63530384970022</v>
      </c>
    </row>
    <row r="442" spans="1:44">
      <c r="A442" s="65">
        <v>441</v>
      </c>
      <c r="B442" s="120">
        <v>2018</v>
      </c>
      <c r="C442" s="118" t="s">
        <v>136</v>
      </c>
      <c r="D442" s="116" t="s">
        <v>105</v>
      </c>
      <c r="E442" s="112" t="s">
        <v>23</v>
      </c>
      <c r="F442" s="117" t="s">
        <v>33</v>
      </c>
      <c r="G442" s="112" t="s">
        <v>43</v>
      </c>
      <c r="H442" s="68">
        <v>43260</v>
      </c>
      <c r="I442" s="68">
        <v>43260</v>
      </c>
      <c r="J442" s="113">
        <v>2</v>
      </c>
      <c r="K442" s="70">
        <v>2.61</v>
      </c>
      <c r="L442" s="71">
        <v>78.3</v>
      </c>
      <c r="M442" s="71"/>
      <c r="N442" s="71">
        <v>30</v>
      </c>
      <c r="O442" s="48" t="s">
        <v>80</v>
      </c>
      <c r="P442" s="72"/>
      <c r="Q442" s="72"/>
      <c r="R442" s="72"/>
      <c r="S442" s="72"/>
      <c r="T442" s="72"/>
      <c r="U442" s="72"/>
      <c r="V442" s="72"/>
      <c r="W442" s="72"/>
      <c r="X442" s="72">
        <v>86</v>
      </c>
      <c r="Y442" s="72"/>
      <c r="Z442" s="72"/>
      <c r="AA442" s="72"/>
      <c r="AB442" s="72"/>
      <c r="AC442" s="72">
        <f>IF(N442=0,"",N442*X442)</f>
        <v>2580</v>
      </c>
      <c r="AD442" s="72">
        <f t="shared" ref="AD442:AD443" si="22">IF(AC442=0,"",AC442*AI442)</f>
        <v>1141.8531166459316</v>
      </c>
      <c r="AE442" s="72">
        <f t="shared" ref="AE442:AE443" si="23">$AC442*AJ442</f>
        <v>57.19746382185285</v>
      </c>
      <c r="AF442" s="72"/>
      <c r="AG442" s="72"/>
      <c r="AH442" s="70">
        <v>1299.0999999999999</v>
      </c>
      <c r="AI442" s="72">
        <v>0.44257872738214399</v>
      </c>
      <c r="AJ442" s="72">
        <v>2.2169559620873198E-2</v>
      </c>
      <c r="AK442" s="91">
        <f t="shared" si="21"/>
        <v>574.95402474214325</v>
      </c>
      <c r="AL442" s="72">
        <f t="shared" si="21"/>
        <v>28.800474903476371</v>
      </c>
      <c r="AM442" s="72">
        <v>372.15601567084661</v>
      </c>
      <c r="AN442" s="72">
        <v>196.68039797645207</v>
      </c>
    </row>
    <row r="443" spans="1:44">
      <c r="A443" s="65">
        <v>442</v>
      </c>
      <c r="B443" s="120">
        <v>2018</v>
      </c>
      <c r="C443" s="118" t="s">
        <v>136</v>
      </c>
      <c r="D443" s="116" t="s">
        <v>105</v>
      </c>
      <c r="E443" s="112" t="s">
        <v>23</v>
      </c>
      <c r="F443" s="117" t="s">
        <v>33</v>
      </c>
      <c r="G443" s="116" t="s">
        <v>41</v>
      </c>
      <c r="H443" s="68">
        <v>43353</v>
      </c>
      <c r="I443" s="68">
        <v>43353</v>
      </c>
      <c r="J443" s="129">
        <v>3</v>
      </c>
      <c r="K443" s="70">
        <v>2.61</v>
      </c>
      <c r="L443" s="71">
        <v>52.2</v>
      </c>
      <c r="M443" s="71"/>
      <c r="N443" s="71">
        <v>20</v>
      </c>
      <c r="O443" s="48" t="s">
        <v>80</v>
      </c>
      <c r="P443" s="72"/>
      <c r="Q443" s="72"/>
      <c r="R443" s="72"/>
      <c r="S443" s="72"/>
      <c r="T443" s="72"/>
      <c r="U443" s="72"/>
      <c r="V443" s="72"/>
      <c r="W443" s="72"/>
      <c r="X443" s="72">
        <v>70</v>
      </c>
      <c r="Y443" s="72"/>
      <c r="Z443" s="72"/>
      <c r="AA443" s="72"/>
      <c r="AB443" s="72"/>
      <c r="AC443" s="72">
        <f>IF(N443=0,"",N443*X443)</f>
        <v>1400</v>
      </c>
      <c r="AD443" s="72">
        <f t="shared" si="22"/>
        <v>650.20570075055286</v>
      </c>
      <c r="AE443" s="72">
        <f t="shared" si="23"/>
        <v>43.13836651252366</v>
      </c>
      <c r="AF443" s="72"/>
      <c r="AG443" s="72"/>
      <c r="AH443" s="70">
        <v>1094.5999999999999</v>
      </c>
      <c r="AI443" s="72">
        <v>0.46443264339325202</v>
      </c>
      <c r="AJ443" s="72">
        <v>3.0813118937516901E-2</v>
      </c>
      <c r="AK443" s="91">
        <f t="shared" si="21"/>
        <v>508.36797145825363</v>
      </c>
      <c r="AL443" s="91">
        <f t="shared" si="21"/>
        <v>33.728039989006</v>
      </c>
      <c r="AM443" s="91">
        <v>357.34707685013092</v>
      </c>
      <c r="AN443" s="91">
        <v>120.59699096030567</v>
      </c>
    </row>
    <row r="444" spans="1:44">
      <c r="A444" s="65">
        <v>443</v>
      </c>
      <c r="B444" s="120">
        <v>2018</v>
      </c>
      <c r="C444" s="118" t="s">
        <v>136</v>
      </c>
      <c r="D444" s="116" t="s">
        <v>105</v>
      </c>
      <c r="E444" s="112" t="s">
        <v>21</v>
      </c>
      <c r="F444" s="117" t="s">
        <v>36</v>
      </c>
      <c r="G444" s="130" t="s">
        <v>187</v>
      </c>
      <c r="H444" s="68">
        <v>43363</v>
      </c>
      <c r="I444" s="68">
        <v>43363</v>
      </c>
      <c r="J444" s="129"/>
      <c r="K444" s="70">
        <v>2.61</v>
      </c>
      <c r="L444" s="71"/>
      <c r="M444" s="71"/>
      <c r="N444" s="71">
        <v>20</v>
      </c>
      <c r="O444" s="48" t="s">
        <v>3</v>
      </c>
      <c r="P444" s="72"/>
      <c r="Q444" s="72"/>
      <c r="R444" s="72"/>
      <c r="S444" s="72"/>
      <c r="T444" s="72"/>
      <c r="U444" s="72"/>
      <c r="V444" s="72"/>
      <c r="W444" s="72"/>
      <c r="X444" s="72"/>
      <c r="Y444" s="72"/>
      <c r="Z444" s="72"/>
      <c r="AA444" s="72"/>
      <c r="AB444" s="72"/>
      <c r="AC444" s="72"/>
      <c r="AD444" s="72"/>
      <c r="AE444" s="72"/>
      <c r="AF444" s="72"/>
      <c r="AG444" s="72"/>
      <c r="AH444" s="48"/>
      <c r="AI444" s="72"/>
      <c r="AJ444" s="72"/>
      <c r="AK444" s="72"/>
      <c r="AL444" s="91"/>
      <c r="AM444" s="91"/>
      <c r="AN444" s="91"/>
    </row>
    <row r="445" spans="1:44">
      <c r="A445" s="65">
        <v>444</v>
      </c>
      <c r="B445" s="120">
        <v>2018</v>
      </c>
      <c r="C445" s="118" t="s">
        <v>136</v>
      </c>
      <c r="D445" s="116" t="s">
        <v>105</v>
      </c>
      <c r="E445" s="112" t="s">
        <v>23</v>
      </c>
      <c r="F445" s="117" t="s">
        <v>33</v>
      </c>
      <c r="G445" s="116" t="s">
        <v>34</v>
      </c>
      <c r="H445" s="68">
        <v>43395</v>
      </c>
      <c r="I445" s="68">
        <v>43395</v>
      </c>
      <c r="J445" s="129">
        <v>4</v>
      </c>
      <c r="K445" s="70">
        <v>2.61</v>
      </c>
      <c r="L445" s="71"/>
      <c r="M445" s="71"/>
      <c r="N445" s="71"/>
      <c r="P445" s="72"/>
      <c r="Q445" s="72"/>
      <c r="R445" s="72"/>
      <c r="S445" s="72"/>
      <c r="T445" s="72"/>
      <c r="U445" s="72"/>
      <c r="V445" s="72"/>
      <c r="W445" s="72"/>
      <c r="X445" s="72">
        <v>37</v>
      </c>
      <c r="Y445" s="72"/>
      <c r="Z445" s="72"/>
      <c r="AA445" s="72"/>
      <c r="AB445" s="72"/>
      <c r="AC445" s="72" t="str">
        <f>IF(N445=0,"",N445*X445)</f>
        <v/>
      </c>
      <c r="AD445" s="72"/>
      <c r="AE445" s="72"/>
      <c r="AF445" s="72"/>
      <c r="AG445" s="72"/>
      <c r="AH445" s="70">
        <v>773.9</v>
      </c>
      <c r="AI445" s="72">
        <v>0.43084793371779201</v>
      </c>
      <c r="AJ445" s="72">
        <v>2.9737850768656999E-2</v>
      </c>
      <c r="AK445" s="91">
        <f>$AH445*AI445</f>
        <v>333.43321590419924</v>
      </c>
      <c r="AL445" s="91">
        <f>$AH445*AJ445</f>
        <v>23.014122709863649</v>
      </c>
      <c r="AM445" s="91">
        <v>273.17859441113683</v>
      </c>
      <c r="AN445" s="91">
        <v>118.22152059189865</v>
      </c>
    </row>
    <row r="446" spans="1:44">
      <c r="A446" s="65">
        <v>445</v>
      </c>
      <c r="B446" s="131">
        <v>2019</v>
      </c>
      <c r="C446" s="115" t="s">
        <v>135</v>
      </c>
      <c r="D446" s="116" t="s">
        <v>105</v>
      </c>
      <c r="E446" s="112" t="s">
        <v>15</v>
      </c>
      <c r="F446" s="117" t="s">
        <v>35</v>
      </c>
      <c r="G446" s="116" t="s">
        <v>46</v>
      </c>
      <c r="H446" s="68">
        <v>43522</v>
      </c>
      <c r="I446" s="68">
        <v>43522</v>
      </c>
      <c r="J446" s="132"/>
      <c r="K446" s="70">
        <v>1.32</v>
      </c>
      <c r="L446" s="48">
        <f t="shared" ref="L446:L453" si="24">N446*K446</f>
        <v>33</v>
      </c>
      <c r="M446" s="48"/>
      <c r="N446" s="71">
        <v>25</v>
      </c>
      <c r="O446" s="48" t="s">
        <v>5</v>
      </c>
      <c r="P446" s="72">
        <v>62</v>
      </c>
      <c r="Q446" s="72">
        <v>36.1</v>
      </c>
      <c r="R446" s="72"/>
      <c r="S446" s="72">
        <v>390.2</v>
      </c>
      <c r="T446" s="73">
        <v>6.29</v>
      </c>
      <c r="U446" s="72">
        <f>N446*1000*X446/100</f>
        <v>1000</v>
      </c>
      <c r="V446" s="72">
        <f>S446*U446/1000</f>
        <v>390.2</v>
      </c>
      <c r="W446" s="72">
        <f>P446*U446/1000</f>
        <v>62</v>
      </c>
      <c r="X446" s="72">
        <v>4</v>
      </c>
      <c r="Y446" s="72"/>
      <c r="Z446" s="73">
        <v>29.82</v>
      </c>
      <c r="AA446" s="73">
        <v>75.680000000000007</v>
      </c>
      <c r="AB446" s="73">
        <v>8.3000000000000007</v>
      </c>
      <c r="AC446" s="72"/>
      <c r="AD446" s="72"/>
      <c r="AE446" s="72"/>
      <c r="AF446" s="72"/>
      <c r="AG446" s="72"/>
      <c r="AH446" s="74"/>
      <c r="AI446" s="72"/>
      <c r="AJ446" s="72"/>
      <c r="AK446" s="72"/>
      <c r="AL446" s="91"/>
      <c r="AM446" s="91"/>
      <c r="AN446" s="91"/>
    </row>
    <row r="447" spans="1:44">
      <c r="A447" s="65">
        <v>446</v>
      </c>
      <c r="B447" s="131">
        <v>2019</v>
      </c>
      <c r="C447" s="115" t="s">
        <v>135</v>
      </c>
      <c r="D447" s="116" t="s">
        <v>105</v>
      </c>
      <c r="E447" s="112" t="s">
        <v>24</v>
      </c>
      <c r="F447" s="117" t="s">
        <v>31</v>
      </c>
      <c r="G447" s="133" t="s">
        <v>175</v>
      </c>
      <c r="H447" s="68">
        <v>43546</v>
      </c>
      <c r="I447" s="68">
        <v>43546</v>
      </c>
      <c r="J447" s="132"/>
      <c r="K447" s="70">
        <v>1.32</v>
      </c>
      <c r="L447" s="48">
        <f t="shared" si="24"/>
        <v>1.6500000000000001</v>
      </c>
      <c r="M447" s="48"/>
      <c r="N447" s="71">
        <v>1.25</v>
      </c>
      <c r="O447" s="48" t="s">
        <v>174</v>
      </c>
      <c r="P447" s="72"/>
      <c r="Q447" s="72"/>
      <c r="R447" s="72"/>
      <c r="S447" s="72"/>
      <c r="T447" s="72"/>
      <c r="U447" s="72"/>
      <c r="V447" s="72"/>
      <c r="W447" s="72"/>
      <c r="X447" s="72"/>
      <c r="Y447" s="72"/>
      <c r="Z447" s="72"/>
      <c r="AA447" s="72"/>
      <c r="AB447" s="72"/>
      <c r="AC447" s="72"/>
      <c r="AD447" s="72"/>
      <c r="AE447" s="72"/>
      <c r="AF447" s="72"/>
      <c r="AG447" s="72"/>
      <c r="AH447" s="74"/>
      <c r="AI447" s="72"/>
      <c r="AJ447" s="72"/>
      <c r="AK447" s="72"/>
      <c r="AL447" s="91"/>
      <c r="AM447" s="91"/>
      <c r="AN447" s="91"/>
    </row>
    <row r="448" spans="1:44" s="128" customFormat="1">
      <c r="A448" s="65">
        <v>447</v>
      </c>
      <c r="B448" s="131">
        <v>2019</v>
      </c>
      <c r="C448" s="115" t="s">
        <v>135</v>
      </c>
      <c r="D448" s="116" t="s">
        <v>105</v>
      </c>
      <c r="E448" s="112" t="s">
        <v>23</v>
      </c>
      <c r="F448" s="117" t="s">
        <v>33</v>
      </c>
      <c r="G448" s="116" t="s">
        <v>34</v>
      </c>
      <c r="H448" s="68">
        <v>43591</v>
      </c>
      <c r="I448" s="68">
        <v>43591</v>
      </c>
      <c r="J448" s="132">
        <v>1</v>
      </c>
      <c r="K448" s="70">
        <f>1.32</f>
        <v>1.32</v>
      </c>
      <c r="L448" s="48">
        <f>N448*K448</f>
        <v>17.450400000000002</v>
      </c>
      <c r="M448" s="48" t="s">
        <v>80</v>
      </c>
      <c r="N448" s="71">
        <v>13.22</v>
      </c>
      <c r="O448" s="48" t="s">
        <v>80</v>
      </c>
      <c r="P448" s="72"/>
      <c r="Q448" s="72"/>
      <c r="R448" s="72"/>
      <c r="S448" s="72"/>
      <c r="T448" s="72"/>
      <c r="U448" s="72"/>
      <c r="V448" s="72"/>
      <c r="W448" s="72"/>
      <c r="X448" s="72">
        <v>37</v>
      </c>
      <c r="Y448" s="72"/>
      <c r="Z448" s="72"/>
      <c r="AA448" s="72"/>
      <c r="AB448" s="72"/>
      <c r="AC448" s="72">
        <f>IF(N448=0,"",N448*X448)</f>
        <v>489.14000000000004</v>
      </c>
      <c r="AD448" s="72">
        <f>IF(AC448=0,"",AC448*AI448)</f>
        <v>219.23766018417888</v>
      </c>
      <c r="AE448" s="72">
        <f>$AC448*AJ448</f>
        <v>10.561283516800437</v>
      </c>
      <c r="AF448" s="72"/>
      <c r="AG448" s="72"/>
      <c r="AH448" s="70">
        <v>2500.6</v>
      </c>
      <c r="AI448" s="72">
        <v>0.44821045137216103</v>
      </c>
      <c r="AJ448" s="72">
        <v>2.1591535177659639E-2</v>
      </c>
      <c r="AK448" s="91">
        <f>$AH448*AI448</f>
        <v>1120.7950547012258</v>
      </c>
      <c r="AL448" s="91">
        <f t="shared" ref="AL448:AL480" si="25">$AH448*AJ448</f>
        <v>53.99179286525569</v>
      </c>
      <c r="AM448" s="91">
        <v>979.83186766347171</v>
      </c>
      <c r="AN448" s="91">
        <v>517.67972795674871</v>
      </c>
      <c r="AO448" s="48"/>
      <c r="AP448" s="48"/>
      <c r="AQ448" s="48"/>
      <c r="AR448" s="48"/>
    </row>
    <row r="449" spans="1:44" s="128" customFormat="1">
      <c r="A449" s="65">
        <v>448</v>
      </c>
      <c r="B449" s="131">
        <v>2019</v>
      </c>
      <c r="C449" s="115" t="s">
        <v>135</v>
      </c>
      <c r="D449" s="116" t="s">
        <v>105</v>
      </c>
      <c r="E449" s="112" t="s">
        <v>15</v>
      </c>
      <c r="F449" s="117" t="s">
        <v>35</v>
      </c>
      <c r="G449" s="116" t="s">
        <v>46</v>
      </c>
      <c r="H449" s="68">
        <v>43608</v>
      </c>
      <c r="I449" s="68">
        <v>43608</v>
      </c>
      <c r="J449" s="132"/>
      <c r="K449" s="70">
        <v>1.32</v>
      </c>
      <c r="L449" s="48">
        <f t="shared" si="24"/>
        <v>22.004400000000004</v>
      </c>
      <c r="M449" s="48"/>
      <c r="N449" s="71">
        <v>16.670000000000002</v>
      </c>
      <c r="O449" s="48" t="s">
        <v>5</v>
      </c>
      <c r="P449" s="72">
        <v>66.599999999999994</v>
      </c>
      <c r="Q449" s="72">
        <v>46.8</v>
      </c>
      <c r="R449" s="72"/>
      <c r="S449" s="72">
        <v>376.8</v>
      </c>
      <c r="T449" s="73">
        <v>5.65</v>
      </c>
      <c r="U449" s="72">
        <f>N449*1000*X449/100</f>
        <v>516.77</v>
      </c>
      <c r="V449" s="72">
        <f>S449*U449/1000</f>
        <v>194.71893599999999</v>
      </c>
      <c r="W449" s="72">
        <f>P449*U449/1000</f>
        <v>34.416882000000001</v>
      </c>
      <c r="X449" s="72">
        <v>3.1</v>
      </c>
      <c r="Y449" s="72"/>
      <c r="Z449" s="73">
        <v>29.31</v>
      </c>
      <c r="AA449" s="73">
        <v>95.46</v>
      </c>
      <c r="AB449" s="73">
        <v>8.86</v>
      </c>
      <c r="AC449" s="72"/>
      <c r="AD449" s="72" t="str">
        <f t="shared" ref="AD449:AD471" si="26">IF(AC449=0,"",AC449*AI449)</f>
        <v/>
      </c>
      <c r="AE449" s="72"/>
      <c r="AF449" s="72"/>
      <c r="AG449" s="72"/>
      <c r="AH449" s="48"/>
      <c r="AI449" s="72"/>
      <c r="AJ449" s="72"/>
      <c r="AK449" s="72"/>
      <c r="AL449" s="91"/>
      <c r="AM449" s="91"/>
      <c r="AN449" s="91"/>
      <c r="AO449" s="48"/>
      <c r="AP449" s="48"/>
      <c r="AQ449" s="48"/>
      <c r="AR449" s="48"/>
    </row>
    <row r="450" spans="1:44" s="128" customFormat="1">
      <c r="A450" s="65">
        <v>449</v>
      </c>
      <c r="B450" s="131">
        <v>2019</v>
      </c>
      <c r="C450" s="115" t="s">
        <v>135</v>
      </c>
      <c r="D450" s="116" t="s">
        <v>105</v>
      </c>
      <c r="E450" s="112" t="s">
        <v>23</v>
      </c>
      <c r="F450" s="117" t="s">
        <v>33</v>
      </c>
      <c r="G450" s="116" t="s">
        <v>41</v>
      </c>
      <c r="H450" s="68">
        <v>43633</v>
      </c>
      <c r="I450" s="68">
        <v>43633</v>
      </c>
      <c r="J450" s="132">
        <v>2</v>
      </c>
      <c r="K450" s="70">
        <v>1.32</v>
      </c>
      <c r="L450" s="48">
        <f t="shared" si="24"/>
        <v>15.84</v>
      </c>
      <c r="M450" s="48"/>
      <c r="N450" s="71">
        <v>12</v>
      </c>
      <c r="O450" s="48" t="s">
        <v>80</v>
      </c>
      <c r="P450" s="72"/>
      <c r="Q450" s="72"/>
      <c r="R450" s="72"/>
      <c r="S450" s="72"/>
      <c r="T450" s="72"/>
      <c r="U450" s="72"/>
      <c r="V450" s="72"/>
      <c r="W450" s="72"/>
      <c r="X450" s="72">
        <v>70</v>
      </c>
      <c r="Y450" s="72"/>
      <c r="Z450" s="72"/>
      <c r="AA450" s="72"/>
      <c r="AB450" s="72"/>
      <c r="AC450" s="72">
        <f>IF(N450=0,"",N450*X450)</f>
        <v>840</v>
      </c>
      <c r="AD450" s="72">
        <f t="shared" si="26"/>
        <v>374.63322819974786</v>
      </c>
      <c r="AE450" s="72">
        <f>$AC450*AJ450</f>
        <v>17.573130496867144</v>
      </c>
      <c r="AF450" s="72"/>
      <c r="AG450" s="72"/>
      <c r="AH450" s="70">
        <v>1529.2</v>
      </c>
      <c r="AI450" s="72">
        <v>0.44599193833303319</v>
      </c>
      <c r="AJ450" s="72">
        <v>2.0920393448651362E-2</v>
      </c>
      <c r="AK450" s="91">
        <f>$AH450*AI450</f>
        <v>682.01087209887442</v>
      </c>
      <c r="AL450" s="91">
        <f t="shared" si="25"/>
        <v>31.991465661677662</v>
      </c>
      <c r="AM450" s="91">
        <v>442.42533582264247</v>
      </c>
      <c r="AN450" s="91">
        <v>291.78496826604271</v>
      </c>
      <c r="AO450" s="48"/>
      <c r="AP450" s="48"/>
      <c r="AQ450" s="48"/>
      <c r="AR450" s="48"/>
    </row>
    <row r="451" spans="1:44" s="128" customFormat="1">
      <c r="A451" s="65">
        <v>450</v>
      </c>
      <c r="B451" s="131">
        <v>2019</v>
      </c>
      <c r="C451" s="115" t="s">
        <v>135</v>
      </c>
      <c r="D451" s="116" t="s">
        <v>105</v>
      </c>
      <c r="E451" s="112" t="s">
        <v>15</v>
      </c>
      <c r="F451" s="117" t="s">
        <v>35</v>
      </c>
      <c r="G451" s="116" t="s">
        <v>46</v>
      </c>
      <c r="H451" s="68">
        <v>43656</v>
      </c>
      <c r="I451" s="68">
        <v>43656</v>
      </c>
      <c r="J451" s="132"/>
      <c r="K451" s="70">
        <v>1.32</v>
      </c>
      <c r="L451" s="48">
        <f t="shared" si="24"/>
        <v>23.575199999999999</v>
      </c>
      <c r="M451" s="48"/>
      <c r="N451" s="71">
        <v>17.86</v>
      </c>
      <c r="O451" s="48" t="s">
        <v>5</v>
      </c>
      <c r="P451" s="72">
        <v>66.3</v>
      </c>
      <c r="Q451" s="72">
        <v>39.1</v>
      </c>
      <c r="R451" s="72"/>
      <c r="S451" s="72">
        <v>381.4</v>
      </c>
      <c r="T451" s="73">
        <v>5.75</v>
      </c>
      <c r="U451" s="72">
        <f>N451*1000*X451/100</f>
        <v>750.12</v>
      </c>
      <c r="V451" s="72">
        <f>S451*U451/1000</f>
        <v>286.09576799999996</v>
      </c>
      <c r="W451" s="72">
        <f>P451*U451/1000</f>
        <v>49.732956000000001</v>
      </c>
      <c r="X451" s="72">
        <v>4.2</v>
      </c>
      <c r="Y451" s="72"/>
      <c r="Z451" s="73">
        <v>29.08</v>
      </c>
      <c r="AA451" s="73">
        <v>69.650000000000006</v>
      </c>
      <c r="AB451" s="73">
        <v>7.7</v>
      </c>
      <c r="AC451" s="72"/>
      <c r="AD451" s="72" t="str">
        <f t="shared" si="26"/>
        <v/>
      </c>
      <c r="AE451" s="72"/>
      <c r="AF451" s="72"/>
      <c r="AG451" s="72"/>
      <c r="AH451" s="48"/>
      <c r="AI451" s="72"/>
      <c r="AJ451" s="72"/>
      <c r="AK451" s="72"/>
      <c r="AL451" s="91"/>
      <c r="AM451" s="91"/>
      <c r="AN451" s="91"/>
      <c r="AO451" s="48"/>
      <c r="AP451" s="48"/>
      <c r="AQ451" s="48"/>
      <c r="AR451" s="48"/>
    </row>
    <row r="452" spans="1:44">
      <c r="A452" s="65">
        <v>451</v>
      </c>
      <c r="B452" s="131">
        <v>2019</v>
      </c>
      <c r="C452" s="115" t="s">
        <v>135</v>
      </c>
      <c r="D452" s="116" t="s">
        <v>105</v>
      </c>
      <c r="E452" s="112" t="s">
        <v>23</v>
      </c>
      <c r="F452" s="117" t="s">
        <v>33</v>
      </c>
      <c r="G452" s="116" t="s">
        <v>34</v>
      </c>
      <c r="H452" s="68">
        <v>43685</v>
      </c>
      <c r="I452" s="68">
        <v>43685</v>
      </c>
      <c r="J452" s="132">
        <v>3</v>
      </c>
      <c r="K452" s="70">
        <v>1.32</v>
      </c>
      <c r="L452" s="48">
        <f t="shared" si="24"/>
        <v>19.8</v>
      </c>
      <c r="M452" s="48"/>
      <c r="N452" s="71">
        <v>15</v>
      </c>
      <c r="O452" s="48" t="s">
        <v>80</v>
      </c>
      <c r="P452" s="72"/>
      <c r="Q452" s="72"/>
      <c r="R452" s="72"/>
      <c r="S452" s="72"/>
      <c r="T452" s="72"/>
      <c r="U452" s="72"/>
      <c r="V452" s="72"/>
      <c r="W452" s="72"/>
      <c r="X452" s="72">
        <v>37</v>
      </c>
      <c r="Y452" s="72"/>
      <c r="Z452" s="72"/>
      <c r="AA452" s="72"/>
      <c r="AB452" s="72"/>
      <c r="AC452" s="72">
        <f>IF(N452=0,"",N452*X452)</f>
        <v>555</v>
      </c>
      <c r="AD452" s="72">
        <f t="shared" si="26"/>
        <v>250.14743363175069</v>
      </c>
      <c r="AE452" s="72">
        <f>$AC452*AJ452</f>
        <v>15.763917011524967</v>
      </c>
      <c r="AF452" s="72"/>
      <c r="AG452" s="72"/>
      <c r="AH452" s="70">
        <v>1133.8</v>
      </c>
      <c r="AI452" s="72">
        <v>0.45071609663378503</v>
      </c>
      <c r="AJ452" s="72">
        <v>2.840345407481976E-2</v>
      </c>
      <c r="AK452" s="91">
        <f>$AH452*AI452</f>
        <v>511.02191036338547</v>
      </c>
      <c r="AL452" s="91">
        <f t="shared" si="25"/>
        <v>32.203836230030639</v>
      </c>
      <c r="AM452" s="91">
        <v>663.05484941544114</v>
      </c>
      <c r="AN452" s="91">
        <v>302.64509490241221</v>
      </c>
    </row>
    <row r="453" spans="1:44">
      <c r="A453" s="65">
        <v>452</v>
      </c>
      <c r="B453" s="131">
        <v>2019</v>
      </c>
      <c r="C453" s="115" t="s">
        <v>135</v>
      </c>
      <c r="D453" s="116" t="s">
        <v>105</v>
      </c>
      <c r="E453" s="112" t="s">
        <v>15</v>
      </c>
      <c r="F453" s="117" t="s">
        <v>35</v>
      </c>
      <c r="G453" s="133" t="s">
        <v>46</v>
      </c>
      <c r="H453" s="68">
        <v>43690</v>
      </c>
      <c r="I453" s="68">
        <v>43690</v>
      </c>
      <c r="J453" s="132"/>
      <c r="K453" s="70">
        <v>1.32</v>
      </c>
      <c r="L453" s="48">
        <f t="shared" si="24"/>
        <v>33.752400000000002</v>
      </c>
      <c r="M453" s="48"/>
      <c r="N453" s="71">
        <v>25.57</v>
      </c>
      <c r="O453" s="48" t="s">
        <v>5</v>
      </c>
      <c r="P453" s="72">
        <v>80.599999999999994</v>
      </c>
      <c r="Q453" s="72">
        <v>52.8</v>
      </c>
      <c r="R453" s="72"/>
      <c r="S453" s="72">
        <v>370.2</v>
      </c>
      <c r="T453" s="73">
        <v>4.59</v>
      </c>
      <c r="U453" s="72">
        <f>N453*1000*X453/100</f>
        <v>767.1</v>
      </c>
      <c r="V453" s="72">
        <f>S453*U453/1000</f>
        <v>283.98041999999998</v>
      </c>
      <c r="W453" s="72">
        <f>P453*U453/1000</f>
        <v>61.828259999999993</v>
      </c>
      <c r="X453" s="72">
        <v>3</v>
      </c>
      <c r="Y453" s="72"/>
      <c r="Z453" s="73">
        <v>28.44</v>
      </c>
      <c r="AA453" s="73">
        <v>108.1</v>
      </c>
      <c r="AB453" s="73">
        <v>8.2100000000000009</v>
      </c>
      <c r="AC453" s="72"/>
      <c r="AD453" s="72" t="str">
        <f t="shared" si="26"/>
        <v/>
      </c>
      <c r="AE453" s="72"/>
      <c r="AF453" s="72"/>
      <c r="AG453" s="72"/>
      <c r="AH453" s="48"/>
      <c r="AI453" s="72"/>
      <c r="AJ453" s="72"/>
      <c r="AK453" s="72"/>
      <c r="AL453" s="91"/>
      <c r="AM453" s="91"/>
      <c r="AN453" s="91"/>
    </row>
    <row r="454" spans="1:44">
      <c r="A454" s="65">
        <v>453</v>
      </c>
      <c r="B454" s="131">
        <v>2019</v>
      </c>
      <c r="C454" s="115" t="s">
        <v>135</v>
      </c>
      <c r="D454" s="116" t="s">
        <v>105</v>
      </c>
      <c r="E454" s="112" t="s">
        <v>23</v>
      </c>
      <c r="F454" s="117" t="s">
        <v>33</v>
      </c>
      <c r="G454" s="133" t="s">
        <v>34</v>
      </c>
      <c r="H454" s="68">
        <v>43725</v>
      </c>
      <c r="I454" s="68">
        <v>43725</v>
      </c>
      <c r="J454" s="132">
        <v>4</v>
      </c>
      <c r="K454" s="70">
        <v>1.32</v>
      </c>
      <c r="L454" s="48">
        <f>N454*K454</f>
        <v>26.400000000000002</v>
      </c>
      <c r="M454" s="48"/>
      <c r="N454" s="71">
        <v>20</v>
      </c>
      <c r="O454" s="48" t="s">
        <v>80</v>
      </c>
      <c r="P454" s="72"/>
      <c r="Q454" s="72"/>
      <c r="R454" s="72"/>
      <c r="S454" s="72"/>
      <c r="T454" s="72"/>
      <c r="U454" s="72"/>
      <c r="V454" s="72"/>
      <c r="W454" s="72"/>
      <c r="X454" s="72">
        <v>37</v>
      </c>
      <c r="Y454" s="72"/>
      <c r="Z454" s="72"/>
      <c r="AA454" s="72"/>
      <c r="AB454" s="72"/>
      <c r="AC454" s="72">
        <f>IF(N454=0,"",N454*X454)</f>
        <v>740</v>
      </c>
      <c r="AD454" s="72">
        <f t="shared" si="26"/>
        <v>326.19728393743401</v>
      </c>
      <c r="AE454" s="72">
        <f>$AC454*AJ454</f>
        <v>23.546489780953259</v>
      </c>
      <c r="AF454" s="72"/>
      <c r="AG454" s="72"/>
      <c r="AH454" s="70">
        <v>1937.2</v>
      </c>
      <c r="AI454" s="72">
        <v>0.4408071404559919</v>
      </c>
      <c r="AJ454" s="72">
        <v>3.1819580785071973E-2</v>
      </c>
      <c r="AK454" s="91">
        <f>$AH454*AI454</f>
        <v>853.93159249134749</v>
      </c>
      <c r="AL454" s="91">
        <f t="shared" si="25"/>
        <v>61.640891896841424</v>
      </c>
      <c r="AM454" s="91">
        <v>675.17648721566854</v>
      </c>
      <c r="AN454" s="91">
        <v>344.96598029451349</v>
      </c>
    </row>
    <row r="455" spans="1:44">
      <c r="A455" s="65">
        <v>454</v>
      </c>
      <c r="B455" s="131">
        <v>2019</v>
      </c>
      <c r="C455" s="115" t="s">
        <v>135</v>
      </c>
      <c r="D455" s="116" t="s">
        <v>105</v>
      </c>
      <c r="E455" s="112" t="s">
        <v>23</v>
      </c>
      <c r="F455" s="117" t="s">
        <v>27</v>
      </c>
      <c r="G455" s="133" t="s">
        <v>45</v>
      </c>
      <c r="H455" s="68">
        <v>43800</v>
      </c>
      <c r="I455" s="68">
        <v>43806</v>
      </c>
      <c r="J455" s="132"/>
      <c r="K455" s="70">
        <v>1.32</v>
      </c>
      <c r="L455" s="71">
        <f>138/(2.61+1.32)*K455</f>
        <v>46.35114503816795</v>
      </c>
      <c r="M455" s="86" t="s">
        <v>193</v>
      </c>
      <c r="N455" s="71">
        <f>L455/K455</f>
        <v>35.114503816793899</v>
      </c>
      <c r="O455" s="48" t="s">
        <v>64</v>
      </c>
      <c r="P455" s="72"/>
      <c r="Q455" s="72"/>
      <c r="R455" s="72"/>
      <c r="S455" s="72"/>
      <c r="T455" s="72"/>
      <c r="U455" s="72"/>
      <c r="V455" s="72"/>
      <c r="W455" s="72"/>
      <c r="X455" s="72"/>
      <c r="Y455" s="72"/>
      <c r="Z455" s="72"/>
      <c r="AA455" s="72"/>
      <c r="AB455" s="72"/>
      <c r="AC455" s="76">
        <f>AF455*N455*AG455</f>
        <v>316.03053435114509</v>
      </c>
      <c r="AD455" s="72">
        <f t="shared" si="26"/>
        <v>131.90847988842535</v>
      </c>
      <c r="AE455" s="72">
        <f>$AC455*AJ455</f>
        <v>10.445976853220065</v>
      </c>
      <c r="AF455" s="72">
        <f>I455-H455</f>
        <v>6</v>
      </c>
      <c r="AG455" s="72">
        <v>1.5</v>
      </c>
      <c r="AH455" s="70">
        <v>1523.1</v>
      </c>
      <c r="AI455" s="72">
        <v>0.41739156679670814</v>
      </c>
      <c r="AJ455" s="72">
        <v>3.3053694873715657E-2</v>
      </c>
      <c r="AK455" s="91">
        <f>$AH455*AI455</f>
        <v>635.72909538806607</v>
      </c>
      <c r="AL455" s="91">
        <f t="shared" si="25"/>
        <v>50.344082662156318</v>
      </c>
      <c r="AM455" s="91">
        <v>589.18690677162112</v>
      </c>
      <c r="AN455" s="91">
        <v>167.8713696791321</v>
      </c>
    </row>
    <row r="456" spans="1:44">
      <c r="A456" s="65">
        <v>455</v>
      </c>
      <c r="B456" s="131">
        <v>2019</v>
      </c>
      <c r="C456" s="118" t="s">
        <v>136</v>
      </c>
      <c r="D456" s="116" t="s">
        <v>105</v>
      </c>
      <c r="E456" s="112" t="s">
        <v>24</v>
      </c>
      <c r="F456" s="117" t="s">
        <v>31</v>
      </c>
      <c r="G456" s="133" t="s">
        <v>175</v>
      </c>
      <c r="H456" s="68">
        <v>43546</v>
      </c>
      <c r="I456" s="68">
        <v>43546</v>
      </c>
      <c r="J456" s="132"/>
      <c r="K456" s="70">
        <v>2.61</v>
      </c>
      <c r="L456" s="48">
        <v>3.26</v>
      </c>
      <c r="M456" s="48" t="s">
        <v>174</v>
      </c>
      <c r="N456" s="71">
        <v>1.25</v>
      </c>
      <c r="O456" s="48" t="s">
        <v>174</v>
      </c>
      <c r="P456" s="72"/>
      <c r="Q456" s="72"/>
      <c r="R456" s="72"/>
      <c r="S456" s="72"/>
      <c r="T456" s="72"/>
      <c r="U456" s="72"/>
      <c r="V456" s="72"/>
      <c r="W456" s="72"/>
      <c r="X456" s="72"/>
      <c r="Y456" s="72"/>
      <c r="Z456" s="72"/>
      <c r="AA456" s="72"/>
      <c r="AB456" s="72"/>
      <c r="AC456" s="72"/>
      <c r="AD456" s="72" t="str">
        <f t="shared" si="26"/>
        <v/>
      </c>
      <c r="AE456" s="72"/>
      <c r="AF456" s="72"/>
      <c r="AG456" s="72"/>
      <c r="AH456" s="48"/>
      <c r="AI456" s="72"/>
      <c r="AJ456" s="72"/>
      <c r="AK456" s="72"/>
      <c r="AL456" s="72"/>
      <c r="AM456" s="72"/>
      <c r="AN456" s="72"/>
    </row>
    <row r="457" spans="1:44">
      <c r="A457" s="65">
        <v>456</v>
      </c>
      <c r="B457" s="131">
        <v>2019</v>
      </c>
      <c r="C457" s="118" t="s">
        <v>136</v>
      </c>
      <c r="D457" s="116" t="s">
        <v>105</v>
      </c>
      <c r="E457" s="112" t="s">
        <v>23</v>
      </c>
      <c r="F457" s="117" t="s">
        <v>33</v>
      </c>
      <c r="G457" s="112" t="s">
        <v>34</v>
      </c>
      <c r="H457" s="68">
        <v>43591</v>
      </c>
      <c r="I457" s="68">
        <v>43591</v>
      </c>
      <c r="J457" s="132">
        <v>1</v>
      </c>
      <c r="K457" s="70">
        <v>2.61</v>
      </c>
      <c r="L457" s="48"/>
      <c r="M457" s="48"/>
      <c r="N457" s="71">
        <v>13.22</v>
      </c>
      <c r="O457" s="48" t="s">
        <v>80</v>
      </c>
      <c r="P457" s="72"/>
      <c r="Q457" s="72"/>
      <c r="R457" s="72"/>
      <c r="S457" s="72"/>
      <c r="T457" s="72"/>
      <c r="U457" s="72"/>
      <c r="V457" s="72"/>
      <c r="W457" s="72"/>
      <c r="X457" s="72">
        <v>37</v>
      </c>
      <c r="Y457" s="72"/>
      <c r="Z457" s="72"/>
      <c r="AA457" s="72"/>
      <c r="AB457" s="72"/>
      <c r="AC457" s="72">
        <f>IF(N457=0,"",N457*X457)</f>
        <v>489.14000000000004</v>
      </c>
      <c r="AD457" s="72">
        <f t="shared" si="26"/>
        <v>218.47835723311658</v>
      </c>
      <c r="AE457" s="72">
        <f>$AC457*AJ457</f>
        <v>8.4487021776030851</v>
      </c>
      <c r="AF457" s="72"/>
      <c r="AG457" s="72"/>
      <c r="AH457" s="70">
        <v>2290.1</v>
      </c>
      <c r="AI457" s="72">
        <v>0.44665812902873731</v>
      </c>
      <c r="AJ457" s="72">
        <v>1.7272564455172515E-2</v>
      </c>
      <c r="AK457" s="91">
        <f>$AH457*AI457</f>
        <v>1022.8917812887113</v>
      </c>
      <c r="AL457" s="91">
        <f t="shared" si="25"/>
        <v>39.555899858790575</v>
      </c>
      <c r="AM457" s="91">
        <v>994.33600960641013</v>
      </c>
      <c r="AN457" s="91">
        <v>525.87837377996152</v>
      </c>
    </row>
    <row r="458" spans="1:44">
      <c r="A458" s="65">
        <v>457</v>
      </c>
      <c r="B458" s="131">
        <v>2019</v>
      </c>
      <c r="C458" s="118" t="s">
        <v>136</v>
      </c>
      <c r="D458" s="116" t="s">
        <v>105</v>
      </c>
      <c r="E458" s="112" t="s">
        <v>23</v>
      </c>
      <c r="F458" s="117" t="s">
        <v>33</v>
      </c>
      <c r="G458" s="133" t="s">
        <v>41</v>
      </c>
      <c r="H458" s="68">
        <v>43633</v>
      </c>
      <c r="I458" s="68">
        <v>43633</v>
      </c>
      <c r="J458" s="132">
        <v>2</v>
      </c>
      <c r="K458" s="70">
        <v>2.61</v>
      </c>
      <c r="L458" s="48"/>
      <c r="M458" s="48"/>
      <c r="N458" s="71">
        <v>12</v>
      </c>
      <c r="O458" s="48" t="s">
        <v>80</v>
      </c>
      <c r="P458" s="72"/>
      <c r="Q458" s="72"/>
      <c r="R458" s="72"/>
      <c r="S458" s="72"/>
      <c r="T458" s="72"/>
      <c r="U458" s="72"/>
      <c r="V458" s="72"/>
      <c r="W458" s="72"/>
      <c r="X458" s="72">
        <v>70</v>
      </c>
      <c r="Y458" s="72"/>
      <c r="Z458" s="72"/>
      <c r="AA458" s="72"/>
      <c r="AB458" s="72"/>
      <c r="AC458" s="72">
        <f>IF(N458=0,"",N458*X458)</f>
        <v>840</v>
      </c>
      <c r="AD458" s="72">
        <f t="shared" si="26"/>
        <v>374.14370029514788</v>
      </c>
      <c r="AE458" s="72">
        <f t="shared" ref="AE458:AE459" si="27">$AC458*AJ458</f>
        <v>17.344104357992563</v>
      </c>
      <c r="AF458" s="72"/>
      <c r="AG458" s="72"/>
      <c r="AH458" s="70">
        <v>1168.8</v>
      </c>
      <c r="AI458" s="72">
        <v>0.44540916701803318</v>
      </c>
      <c r="AJ458" s="72">
        <v>2.0647743283324478E-2</v>
      </c>
      <c r="AK458" s="91">
        <f>$AH458*AI458</f>
        <v>520.59423441067713</v>
      </c>
      <c r="AL458" s="91">
        <f t="shared" si="25"/>
        <v>24.13308234954965</v>
      </c>
      <c r="AM458" s="91">
        <v>561.13036710633355</v>
      </c>
      <c r="AN458" s="91">
        <v>91.513055724624252</v>
      </c>
    </row>
    <row r="459" spans="1:44">
      <c r="A459" s="65">
        <v>458</v>
      </c>
      <c r="B459" s="131">
        <v>2019</v>
      </c>
      <c r="C459" s="118" t="s">
        <v>136</v>
      </c>
      <c r="D459" s="116" t="s">
        <v>105</v>
      </c>
      <c r="E459" s="112" t="s">
        <v>23</v>
      </c>
      <c r="F459" s="117" t="s">
        <v>33</v>
      </c>
      <c r="G459" s="133" t="s">
        <v>34</v>
      </c>
      <c r="H459" s="68">
        <v>43685</v>
      </c>
      <c r="I459" s="68">
        <v>43685</v>
      </c>
      <c r="J459" s="132">
        <v>3</v>
      </c>
      <c r="K459" s="70">
        <v>2.61</v>
      </c>
      <c r="L459" s="48"/>
      <c r="M459" s="48"/>
      <c r="N459" s="71">
        <v>15</v>
      </c>
      <c r="O459" s="48" t="s">
        <v>80</v>
      </c>
      <c r="P459" s="72"/>
      <c r="Q459" s="72"/>
      <c r="R459" s="72"/>
      <c r="S459" s="72"/>
      <c r="T459" s="72"/>
      <c r="U459" s="72"/>
      <c r="V459" s="72"/>
      <c r="W459" s="72"/>
      <c r="X459" s="72">
        <v>37</v>
      </c>
      <c r="Y459" s="72"/>
      <c r="Z459" s="72"/>
      <c r="AA459" s="72"/>
      <c r="AB459" s="72"/>
      <c r="AC459" s="72">
        <f>IF(N459=0,"",N459*X459)</f>
        <v>555</v>
      </c>
      <c r="AD459" s="72">
        <f t="shared" si="26"/>
        <v>252.16406966709042</v>
      </c>
      <c r="AE459" s="72">
        <f t="shared" si="27"/>
        <v>16.207419271681761</v>
      </c>
      <c r="AF459" s="72"/>
      <c r="AG459" s="72"/>
      <c r="AH459" s="70">
        <v>704.8</v>
      </c>
      <c r="AI459" s="72">
        <v>0.45434967507583857</v>
      </c>
      <c r="AJ459" s="72">
        <v>2.9202557246273443E-2</v>
      </c>
      <c r="AK459" s="91">
        <f>$AH459*AI459</f>
        <v>320.22565099345098</v>
      </c>
      <c r="AL459" s="91">
        <f t="shared" si="25"/>
        <v>20.581962347173523</v>
      </c>
      <c r="AM459" s="91">
        <v>322.0009661821253</v>
      </c>
      <c r="AN459" s="91">
        <v>153.51518574612334</v>
      </c>
    </row>
    <row r="460" spans="1:44">
      <c r="A460" s="65">
        <v>459</v>
      </c>
      <c r="B460" s="131">
        <v>2019</v>
      </c>
      <c r="C460" s="118" t="s">
        <v>136</v>
      </c>
      <c r="D460" s="116" t="s">
        <v>105</v>
      </c>
      <c r="E460" s="112" t="s">
        <v>21</v>
      </c>
      <c r="F460" s="117" t="s">
        <v>36</v>
      </c>
      <c r="G460" s="134" t="s">
        <v>181</v>
      </c>
      <c r="H460" s="68">
        <v>43694</v>
      </c>
      <c r="I460" s="68">
        <v>43694</v>
      </c>
      <c r="J460" s="132"/>
      <c r="K460" s="70">
        <v>2.61</v>
      </c>
      <c r="L460" s="48"/>
      <c r="M460" s="48"/>
      <c r="N460" s="71">
        <v>20</v>
      </c>
      <c r="O460" s="48" t="s">
        <v>3</v>
      </c>
      <c r="P460" s="72"/>
      <c r="Q460" s="72"/>
      <c r="R460" s="72"/>
      <c r="S460" s="72"/>
      <c r="T460" s="72"/>
      <c r="U460" s="72"/>
      <c r="V460" s="72"/>
      <c r="W460" s="72"/>
      <c r="X460" s="72"/>
      <c r="Y460" s="72"/>
      <c r="Z460" s="72"/>
      <c r="AA460" s="72"/>
      <c r="AB460" s="72"/>
      <c r="AC460" s="72"/>
      <c r="AD460" s="72" t="str">
        <f t="shared" si="26"/>
        <v/>
      </c>
      <c r="AE460" s="72"/>
      <c r="AF460" s="72"/>
      <c r="AG460" s="72"/>
      <c r="AH460" s="48"/>
      <c r="AI460" s="72"/>
      <c r="AJ460" s="72"/>
      <c r="AK460" s="72"/>
      <c r="AL460" s="91"/>
      <c r="AM460" s="91"/>
      <c r="AN460" s="91"/>
    </row>
    <row r="461" spans="1:44">
      <c r="A461" s="65">
        <v>460</v>
      </c>
      <c r="B461" s="131">
        <v>2019</v>
      </c>
      <c r="C461" s="118" t="s">
        <v>136</v>
      </c>
      <c r="D461" s="116" t="s">
        <v>105</v>
      </c>
      <c r="E461" s="112" t="s">
        <v>23</v>
      </c>
      <c r="F461" s="117" t="s">
        <v>33</v>
      </c>
      <c r="G461" s="133" t="s">
        <v>34</v>
      </c>
      <c r="H461" s="68">
        <v>43725</v>
      </c>
      <c r="I461" s="68">
        <v>43725</v>
      </c>
      <c r="J461" s="132">
        <v>4</v>
      </c>
      <c r="K461" s="70">
        <v>2.61</v>
      </c>
      <c r="L461" s="48"/>
      <c r="M461" s="48"/>
      <c r="N461" s="71">
        <v>20</v>
      </c>
      <c r="O461" s="48" t="s">
        <v>80</v>
      </c>
      <c r="P461" s="72"/>
      <c r="Q461" s="72"/>
      <c r="R461" s="72"/>
      <c r="S461" s="72"/>
      <c r="T461" s="72"/>
      <c r="U461" s="72"/>
      <c r="V461" s="72"/>
      <c r="W461" s="72"/>
      <c r="X461" s="72">
        <v>37</v>
      </c>
      <c r="Y461" s="72"/>
      <c r="Z461" s="72"/>
      <c r="AA461" s="72"/>
      <c r="AB461" s="72"/>
      <c r="AC461" s="72">
        <f>IF(N461=0,"",N461*X461)</f>
        <v>740</v>
      </c>
      <c r="AD461" s="72">
        <f t="shared" si="26"/>
        <v>335.26937135880155</v>
      </c>
      <c r="AE461" s="72">
        <f t="shared" ref="AE461" si="28">$AC461*AJ461</f>
        <v>24.25154924116665</v>
      </c>
      <c r="AF461" s="72"/>
      <c r="AG461" s="72"/>
      <c r="AH461" s="70">
        <v>1206</v>
      </c>
      <c r="AI461" s="72">
        <v>0.45306671805243454</v>
      </c>
      <c r="AJ461" s="72">
        <v>3.2772363839414391E-2</v>
      </c>
      <c r="AK461" s="91">
        <f>$AH461*AI461</f>
        <v>546.39846197123609</v>
      </c>
      <c r="AL461" s="91">
        <f t="shared" si="25"/>
        <v>39.523470790333754</v>
      </c>
      <c r="AM461" s="91">
        <v>385.77800179204911</v>
      </c>
      <c r="AN461" s="91">
        <v>179.49592193244635</v>
      </c>
    </row>
    <row r="462" spans="1:44">
      <c r="A462" s="65">
        <v>461</v>
      </c>
      <c r="B462" s="131">
        <v>2019</v>
      </c>
      <c r="C462" s="118" t="s">
        <v>136</v>
      </c>
      <c r="D462" s="116" t="s">
        <v>105</v>
      </c>
      <c r="E462" s="112" t="s">
        <v>23</v>
      </c>
      <c r="F462" s="117" t="s">
        <v>27</v>
      </c>
      <c r="G462" s="133" t="s">
        <v>45</v>
      </c>
      <c r="H462" s="68">
        <v>43800</v>
      </c>
      <c r="I462" s="68">
        <v>43806</v>
      </c>
      <c r="J462" s="132"/>
      <c r="K462" s="70">
        <v>2.61</v>
      </c>
      <c r="L462" s="71">
        <f>138/(2.61+1.32)*K462</f>
        <v>91.648854961832072</v>
      </c>
      <c r="M462" s="86" t="s">
        <v>193</v>
      </c>
      <c r="N462" s="71">
        <f>L462/K462</f>
        <v>35.114503816793899</v>
      </c>
      <c r="O462" s="48" t="s">
        <v>64</v>
      </c>
      <c r="P462" s="72"/>
      <c r="Q462" s="72"/>
      <c r="R462" s="72"/>
      <c r="S462" s="72"/>
      <c r="T462" s="72"/>
      <c r="U462" s="72"/>
      <c r="V462" s="72"/>
      <c r="W462" s="72"/>
      <c r="X462" s="72"/>
      <c r="Y462" s="72"/>
      <c r="Z462" s="72"/>
      <c r="AA462" s="72"/>
      <c r="AB462" s="72"/>
      <c r="AC462" s="76">
        <f>AF462*N462*AG462</f>
        <v>316.03053435114509</v>
      </c>
      <c r="AD462" s="72">
        <f t="shared" si="26"/>
        <v>140.57391839203004</v>
      </c>
      <c r="AE462" s="72">
        <f>$AC462*AJ462</f>
        <v>11.371153733532015</v>
      </c>
      <c r="AF462" s="72">
        <f>I462-H462</f>
        <v>6</v>
      </c>
      <c r="AG462" s="72">
        <v>1.5</v>
      </c>
      <c r="AH462" s="70">
        <v>865.6</v>
      </c>
      <c r="AI462" s="72">
        <v>0.44481119104724476</v>
      </c>
      <c r="AJ462" s="72">
        <v>3.5981186934606127E-2</v>
      </c>
      <c r="AK462" s="91">
        <f>$AH462*AI462</f>
        <v>385.02856697049509</v>
      </c>
      <c r="AL462" s="91">
        <f t="shared" si="25"/>
        <v>31.145315410595064</v>
      </c>
      <c r="AM462" s="91">
        <v>220.56402446656827</v>
      </c>
      <c r="AN462" s="91">
        <v>85.269222759255655</v>
      </c>
    </row>
    <row r="463" spans="1:44">
      <c r="A463" s="65">
        <v>462</v>
      </c>
      <c r="B463" s="135">
        <v>2020</v>
      </c>
      <c r="C463" s="115" t="s">
        <v>135</v>
      </c>
      <c r="D463" s="116" t="s">
        <v>105</v>
      </c>
      <c r="E463" s="112" t="s">
        <v>15</v>
      </c>
      <c r="F463" s="117" t="s">
        <v>35</v>
      </c>
      <c r="G463" s="133" t="s">
        <v>46</v>
      </c>
      <c r="H463" s="68">
        <v>43909</v>
      </c>
      <c r="I463" s="68">
        <v>43909</v>
      </c>
      <c r="J463" s="132"/>
      <c r="K463" s="70">
        <v>1.32</v>
      </c>
      <c r="L463" s="71"/>
      <c r="M463" s="71"/>
      <c r="N463" s="71">
        <v>21.52</v>
      </c>
      <c r="O463" s="48" t="s">
        <v>5</v>
      </c>
      <c r="P463" s="72">
        <v>71</v>
      </c>
      <c r="Q463" s="72">
        <v>40.9</v>
      </c>
      <c r="R463" s="72"/>
      <c r="S463" s="72">
        <v>389.8</v>
      </c>
      <c r="T463" s="73">
        <v>5.49</v>
      </c>
      <c r="U463" s="72">
        <f>N463*1000*X463/100</f>
        <v>774.72</v>
      </c>
      <c r="V463" s="72">
        <f>S463*U463/1000</f>
        <v>301.98585600000001</v>
      </c>
      <c r="W463" s="72">
        <f>P463*U463/1000</f>
        <v>55.005120000000005</v>
      </c>
      <c r="X463" s="72">
        <v>3.6</v>
      </c>
      <c r="Y463" s="72"/>
      <c r="Z463" s="73">
        <v>27.42</v>
      </c>
      <c r="AA463" s="73">
        <v>106.34</v>
      </c>
      <c r="AB463" s="73">
        <v>7.49</v>
      </c>
      <c r="AC463" s="72"/>
      <c r="AD463" s="72" t="str">
        <f t="shared" si="26"/>
        <v/>
      </c>
      <c r="AE463" s="72"/>
      <c r="AF463" s="72"/>
      <c r="AG463" s="72"/>
      <c r="AH463" s="74"/>
      <c r="AI463" s="72"/>
      <c r="AJ463" s="72"/>
      <c r="AK463" s="72"/>
      <c r="AL463" s="72"/>
      <c r="AM463" s="72"/>
      <c r="AN463" s="72"/>
    </row>
    <row r="464" spans="1:44">
      <c r="A464" s="65">
        <v>463</v>
      </c>
      <c r="B464" s="135">
        <v>2020</v>
      </c>
      <c r="C464" s="115" t="s">
        <v>135</v>
      </c>
      <c r="D464" s="116" t="s">
        <v>105</v>
      </c>
      <c r="E464" s="112" t="s">
        <v>24</v>
      </c>
      <c r="F464" s="117" t="s">
        <v>31</v>
      </c>
      <c r="G464" s="133" t="s">
        <v>175</v>
      </c>
      <c r="H464" s="68">
        <v>43927</v>
      </c>
      <c r="I464" s="68">
        <v>43927</v>
      </c>
      <c r="J464" s="132"/>
      <c r="K464" s="70">
        <v>1.32</v>
      </c>
      <c r="L464" s="71">
        <v>0.77</v>
      </c>
      <c r="M464" s="71"/>
      <c r="N464" s="71">
        <v>0.57999999999999996</v>
      </c>
      <c r="O464" s="48" t="s">
        <v>174</v>
      </c>
      <c r="P464" s="72"/>
      <c r="Q464" s="72"/>
      <c r="R464" s="72"/>
      <c r="S464" s="72"/>
      <c r="T464" s="72"/>
      <c r="U464" s="72"/>
      <c r="V464" s="72"/>
      <c r="W464" s="72"/>
      <c r="X464" s="72"/>
      <c r="Y464" s="72"/>
      <c r="Z464" s="72"/>
      <c r="AA464" s="72"/>
      <c r="AB464" s="72"/>
      <c r="AC464" s="72"/>
      <c r="AD464" s="72" t="str">
        <f t="shared" si="26"/>
        <v/>
      </c>
      <c r="AE464" s="72"/>
      <c r="AF464" s="72"/>
      <c r="AG464" s="72"/>
      <c r="AH464" s="74"/>
      <c r="AI464" s="72"/>
      <c r="AJ464" s="72"/>
      <c r="AK464" s="72"/>
      <c r="AL464" s="91"/>
      <c r="AM464" s="91"/>
      <c r="AN464" s="91"/>
    </row>
    <row r="465" spans="1:40">
      <c r="A465" s="65">
        <v>464</v>
      </c>
      <c r="B465" s="135">
        <v>2020</v>
      </c>
      <c r="C465" s="115" t="s">
        <v>135</v>
      </c>
      <c r="D465" s="116" t="s">
        <v>105</v>
      </c>
      <c r="E465" s="112" t="s">
        <v>23</v>
      </c>
      <c r="F465" s="117" t="s">
        <v>33</v>
      </c>
      <c r="G465" s="134" t="s">
        <v>43</v>
      </c>
      <c r="H465" s="68">
        <v>43943</v>
      </c>
      <c r="I465" s="68">
        <v>43943</v>
      </c>
      <c r="J465" s="132">
        <v>1</v>
      </c>
      <c r="K465" s="70">
        <v>1.32</v>
      </c>
      <c r="L465" s="71"/>
      <c r="M465" s="71"/>
      <c r="N465" s="71"/>
      <c r="P465" s="72"/>
      <c r="Q465" s="72"/>
      <c r="R465" s="72"/>
      <c r="S465" s="72"/>
      <c r="T465" s="72"/>
      <c r="U465" s="72"/>
      <c r="V465" s="72"/>
      <c r="W465" s="72"/>
      <c r="X465" s="72">
        <v>86</v>
      </c>
      <c r="Y465" s="72"/>
      <c r="Z465" s="72"/>
      <c r="AA465" s="72"/>
      <c r="AB465" s="72"/>
      <c r="AC465" s="72" t="str">
        <f>IF(N465=0,"",N465*X465)</f>
        <v/>
      </c>
      <c r="AD465" s="72"/>
      <c r="AE465" s="72"/>
      <c r="AF465" s="72"/>
      <c r="AG465" s="72"/>
      <c r="AH465" s="73">
        <v>2101.3000000000002</v>
      </c>
      <c r="AI465" s="72">
        <v>0.44251623513837302</v>
      </c>
      <c r="AJ465" s="72">
        <v>2.5108181488873019E-2</v>
      </c>
      <c r="AK465" s="91">
        <f>$AH465*AI465</f>
        <v>929.85936489626329</v>
      </c>
      <c r="AL465" s="91">
        <f t="shared" si="25"/>
        <v>52.759821762568876</v>
      </c>
      <c r="AM465" s="91">
        <v>932.24294043988266</v>
      </c>
      <c r="AN465" s="91">
        <v>311.32435535883411</v>
      </c>
    </row>
    <row r="466" spans="1:40">
      <c r="A466" s="65">
        <v>465</v>
      </c>
      <c r="B466" s="135">
        <v>2020</v>
      </c>
      <c r="C466" s="115" t="s">
        <v>135</v>
      </c>
      <c r="D466" s="116" t="s">
        <v>105</v>
      </c>
      <c r="E466" s="112" t="s">
        <v>15</v>
      </c>
      <c r="F466" s="117" t="s">
        <v>35</v>
      </c>
      <c r="G466" s="133" t="s">
        <v>46</v>
      </c>
      <c r="H466" s="68">
        <v>43951</v>
      </c>
      <c r="I466" s="68">
        <v>43951</v>
      </c>
      <c r="J466" s="132"/>
      <c r="K466" s="70">
        <v>1.32</v>
      </c>
      <c r="L466" s="48">
        <f>N466*K466</f>
        <v>36.115200000000002</v>
      </c>
      <c r="M466" s="71"/>
      <c r="N466" s="71">
        <v>27.36</v>
      </c>
      <c r="O466" s="48" t="s">
        <v>5</v>
      </c>
      <c r="P466" s="72">
        <v>75.7</v>
      </c>
      <c r="Q466" s="72">
        <v>45</v>
      </c>
      <c r="R466" s="72"/>
      <c r="S466" s="72">
        <v>432.4</v>
      </c>
      <c r="T466" s="73">
        <v>5.71</v>
      </c>
      <c r="U466" s="72">
        <f>N466*1000*X466/100</f>
        <v>1121.7599999999998</v>
      </c>
      <c r="V466" s="72">
        <f>S466*U466/1000</f>
        <v>485.04902399999986</v>
      </c>
      <c r="W466" s="72">
        <f>P466*U466/1000</f>
        <v>84.917231999999984</v>
      </c>
      <c r="X466" s="72">
        <v>4.0999999999999996</v>
      </c>
      <c r="Y466" s="72"/>
      <c r="Z466" s="73">
        <v>29.22</v>
      </c>
      <c r="AA466" s="73">
        <v>78.58</v>
      </c>
      <c r="AB466" s="73">
        <v>7.77</v>
      </c>
      <c r="AC466" s="72"/>
      <c r="AD466" s="72"/>
      <c r="AE466" s="72"/>
      <c r="AF466" s="72"/>
      <c r="AG466" s="72"/>
      <c r="AH466" s="74"/>
      <c r="AI466" s="72"/>
      <c r="AJ466" s="72"/>
      <c r="AK466" s="72"/>
      <c r="AL466" s="91"/>
      <c r="AM466" s="91"/>
      <c r="AN466" s="91"/>
    </row>
    <row r="467" spans="1:40">
      <c r="A467" s="65">
        <v>466</v>
      </c>
      <c r="B467" s="135">
        <v>2020</v>
      </c>
      <c r="C467" s="115" t="s">
        <v>135</v>
      </c>
      <c r="D467" s="116" t="s">
        <v>105</v>
      </c>
      <c r="E467" s="112" t="s">
        <v>23</v>
      </c>
      <c r="F467" s="117" t="s">
        <v>33</v>
      </c>
      <c r="G467" s="116" t="s">
        <v>41</v>
      </c>
      <c r="H467" s="68">
        <v>43976</v>
      </c>
      <c r="I467" s="68">
        <v>43976</v>
      </c>
      <c r="J467" s="132">
        <v>2</v>
      </c>
      <c r="K467" s="70">
        <v>1.32</v>
      </c>
      <c r="L467" s="48">
        <f>N467*K467</f>
        <v>33</v>
      </c>
      <c r="M467" s="71"/>
      <c r="N467" s="71">
        <v>25</v>
      </c>
      <c r="O467" s="48" t="s">
        <v>80</v>
      </c>
      <c r="P467" s="72"/>
      <c r="Q467" s="72"/>
      <c r="R467" s="72"/>
      <c r="S467" s="72"/>
      <c r="T467" s="72"/>
      <c r="U467" s="72"/>
      <c r="V467" s="72"/>
      <c r="W467" s="72"/>
      <c r="X467" s="72">
        <v>70</v>
      </c>
      <c r="Y467" s="72"/>
      <c r="Z467" s="72"/>
      <c r="AA467" s="72"/>
      <c r="AB467" s="72"/>
      <c r="AC467" s="72">
        <f>IF(N467=0,"",N467*X467)</f>
        <v>1750</v>
      </c>
      <c r="AD467" s="72">
        <f t="shared" si="26"/>
        <v>774.30412283871669</v>
      </c>
      <c r="AE467" s="72">
        <f>$AC467*AJ467</f>
        <v>37.100581498749413</v>
      </c>
      <c r="AF467" s="72"/>
      <c r="AG467" s="72"/>
      <c r="AH467" s="73">
        <v>3964.9</v>
      </c>
      <c r="AI467" s="72">
        <v>0.44245949876498097</v>
      </c>
      <c r="AJ467" s="72">
        <v>2.1200332284999665E-2</v>
      </c>
      <c r="AK467" s="91">
        <f>$AH467*AI467</f>
        <v>1754.3076666532731</v>
      </c>
      <c r="AL467" s="91">
        <f t="shared" si="25"/>
        <v>84.057197476795167</v>
      </c>
      <c r="AM467" s="91">
        <v>1046.7633129477413</v>
      </c>
      <c r="AN467" s="91">
        <v>374.57897650061074</v>
      </c>
    </row>
    <row r="468" spans="1:40">
      <c r="A468" s="65">
        <v>467</v>
      </c>
      <c r="B468" s="135">
        <v>2020</v>
      </c>
      <c r="C468" s="115" t="s">
        <v>135</v>
      </c>
      <c r="D468" s="116" t="s">
        <v>105</v>
      </c>
      <c r="E468" s="112" t="s">
        <v>15</v>
      </c>
      <c r="F468" s="117" t="s">
        <v>35</v>
      </c>
      <c r="G468" s="133" t="s">
        <v>46</v>
      </c>
      <c r="H468" s="68">
        <v>43986</v>
      </c>
      <c r="I468" s="68">
        <v>43986</v>
      </c>
      <c r="J468" s="132"/>
      <c r="K468" s="70">
        <v>1.32</v>
      </c>
      <c r="L468" s="48">
        <f>N468*K468</f>
        <v>26.400000000000002</v>
      </c>
      <c r="M468" s="71"/>
      <c r="N468" s="71">
        <v>20</v>
      </c>
      <c r="O468" s="48" t="s">
        <v>5</v>
      </c>
      <c r="P468" s="72">
        <v>72.099999999999994</v>
      </c>
      <c r="Q468" s="72">
        <v>44.5</v>
      </c>
      <c r="R468" s="72"/>
      <c r="S468" s="72">
        <v>359.6</v>
      </c>
      <c r="T468" s="73">
        <v>4.99</v>
      </c>
      <c r="U468" s="72">
        <f>N468*1000*X468/100</f>
        <v>440</v>
      </c>
      <c r="V468" s="72">
        <f>S468*U468/1000</f>
        <v>158.22399999999999</v>
      </c>
      <c r="W468" s="72">
        <f>P468*U468/1000</f>
        <v>31.723999999999997</v>
      </c>
      <c r="X468" s="72">
        <v>2.2000000000000002</v>
      </c>
      <c r="Y468" s="72"/>
      <c r="Z468" s="73">
        <v>29.54</v>
      </c>
      <c r="AA468" s="73">
        <v>89.82</v>
      </c>
      <c r="AB468" s="73">
        <v>8.2100000000000009</v>
      </c>
      <c r="AC468" s="72"/>
      <c r="AD468" s="72" t="str">
        <f t="shared" si="26"/>
        <v/>
      </c>
      <c r="AE468" s="72"/>
      <c r="AF468" s="72"/>
      <c r="AG468" s="72"/>
      <c r="AH468" s="74"/>
      <c r="AI468" s="72"/>
      <c r="AJ468" s="72"/>
      <c r="AK468" s="72"/>
      <c r="AL468" s="91"/>
      <c r="AM468" s="91"/>
      <c r="AN468" s="91"/>
    </row>
    <row r="469" spans="1:40">
      <c r="A469" s="65">
        <v>468</v>
      </c>
      <c r="B469" s="135">
        <v>2020</v>
      </c>
      <c r="C469" s="115" t="s">
        <v>135</v>
      </c>
      <c r="D469" s="116" t="s">
        <v>105</v>
      </c>
      <c r="E469" s="112" t="s">
        <v>23</v>
      </c>
      <c r="F469" s="117" t="s">
        <v>33</v>
      </c>
      <c r="G469" s="116" t="s">
        <v>41</v>
      </c>
      <c r="H469" s="68">
        <v>44018</v>
      </c>
      <c r="I469" s="68">
        <v>44018</v>
      </c>
      <c r="J469" s="132">
        <v>3</v>
      </c>
      <c r="K469" s="70">
        <v>1.32</v>
      </c>
      <c r="L469" s="48">
        <f t="shared" ref="L469:L471" si="29">N469*K469</f>
        <v>26.400000000000002</v>
      </c>
      <c r="M469" s="71"/>
      <c r="N469" s="71">
        <v>20</v>
      </c>
      <c r="O469" s="48" t="s">
        <v>80</v>
      </c>
      <c r="P469" s="72"/>
      <c r="Q469" s="72"/>
      <c r="R469" s="72"/>
      <c r="S469" s="72"/>
      <c r="T469" s="72"/>
      <c r="U469" s="72"/>
      <c r="V469" s="72"/>
      <c r="W469" s="72"/>
      <c r="X469" s="72">
        <v>37</v>
      </c>
      <c r="Y469" s="72"/>
      <c r="Z469" s="72"/>
      <c r="AA469" s="72"/>
      <c r="AB469" s="72"/>
      <c r="AC469" s="72">
        <f>IF(N469=0,"",N469*X469)</f>
        <v>740</v>
      </c>
      <c r="AD469" s="72">
        <f t="shared" si="26"/>
        <v>325.03360439427712</v>
      </c>
      <c r="AE469" s="72">
        <f>$AC469*AJ469</f>
        <v>18.255833050307196</v>
      </c>
      <c r="AF469" s="72"/>
      <c r="AG469" s="72"/>
      <c r="AH469" s="73">
        <v>2455.6</v>
      </c>
      <c r="AI469" s="72">
        <v>0.43923460053280694</v>
      </c>
      <c r="AJ469" s="72">
        <v>2.4670044662577294E-2</v>
      </c>
      <c r="AK469" s="91">
        <f>$AH469*AI469</f>
        <v>1078.5844850683607</v>
      </c>
      <c r="AL469" s="91">
        <f t="shared" si="25"/>
        <v>60.579761673424798</v>
      </c>
      <c r="AM469" s="91">
        <v>844.99746219211272</v>
      </c>
      <c r="AN469" s="91">
        <v>239.59263436484173</v>
      </c>
    </row>
    <row r="470" spans="1:40">
      <c r="A470" s="65">
        <v>469</v>
      </c>
      <c r="B470" s="135">
        <v>2020</v>
      </c>
      <c r="C470" s="115" t="s">
        <v>135</v>
      </c>
      <c r="D470" s="116" t="s">
        <v>105</v>
      </c>
      <c r="E470" s="112" t="s">
        <v>15</v>
      </c>
      <c r="F470" s="117" t="s">
        <v>35</v>
      </c>
      <c r="G470" s="133" t="s">
        <v>46</v>
      </c>
      <c r="H470" s="68">
        <v>44025</v>
      </c>
      <c r="I470" s="68">
        <v>44025</v>
      </c>
      <c r="J470" s="132"/>
      <c r="K470" s="70">
        <v>1.32</v>
      </c>
      <c r="L470" s="48">
        <f t="shared" si="29"/>
        <v>31.943999999999999</v>
      </c>
      <c r="M470" s="71"/>
      <c r="N470" s="71">
        <v>24.2</v>
      </c>
      <c r="O470" s="48" t="s">
        <v>5</v>
      </c>
      <c r="P470" s="72">
        <v>68</v>
      </c>
      <c r="Q470" s="72">
        <v>37</v>
      </c>
      <c r="R470" s="72"/>
      <c r="S470" s="72">
        <v>355.9</v>
      </c>
      <c r="T470" s="73">
        <v>5.23</v>
      </c>
      <c r="U470" s="72">
        <f>N470*1000*X470/100</f>
        <v>580.79999999999995</v>
      </c>
      <c r="V470" s="72">
        <f>S470*U470/1000</f>
        <v>206.70671999999996</v>
      </c>
      <c r="W470" s="72">
        <f>P470*U470/1000</f>
        <v>39.494399999999992</v>
      </c>
      <c r="X470" s="72">
        <v>2.4</v>
      </c>
      <c r="Y470" s="72"/>
      <c r="Z470" s="73">
        <v>30.44</v>
      </c>
      <c r="AA470" s="73">
        <v>114.53</v>
      </c>
      <c r="AB470" s="73">
        <v>10.199999999999999</v>
      </c>
      <c r="AC470" s="72"/>
      <c r="AD470" s="72" t="str">
        <f t="shared" si="26"/>
        <v/>
      </c>
      <c r="AE470" s="72"/>
      <c r="AF470" s="72"/>
      <c r="AG470" s="72"/>
      <c r="AH470" s="74"/>
      <c r="AI470" s="72"/>
      <c r="AJ470" s="72"/>
      <c r="AK470" s="72"/>
      <c r="AL470" s="91"/>
      <c r="AM470" s="91"/>
      <c r="AN470" s="91"/>
    </row>
    <row r="471" spans="1:40">
      <c r="A471" s="65">
        <v>470</v>
      </c>
      <c r="B471" s="135">
        <v>2020</v>
      </c>
      <c r="C471" s="115" t="s">
        <v>135</v>
      </c>
      <c r="D471" s="116" t="s">
        <v>105</v>
      </c>
      <c r="E471" s="112" t="s">
        <v>23</v>
      </c>
      <c r="F471" s="117" t="s">
        <v>33</v>
      </c>
      <c r="G471" s="116" t="s">
        <v>41</v>
      </c>
      <c r="H471" s="68">
        <v>44062</v>
      </c>
      <c r="I471" s="68">
        <v>44062</v>
      </c>
      <c r="J471" s="132">
        <v>4</v>
      </c>
      <c r="K471" s="70">
        <v>1.32</v>
      </c>
      <c r="L471" s="48">
        <f t="shared" si="29"/>
        <v>19.8</v>
      </c>
      <c r="M471" s="71"/>
      <c r="N471" s="71">
        <v>15</v>
      </c>
      <c r="O471" s="48" t="s">
        <v>80</v>
      </c>
      <c r="P471" s="72"/>
      <c r="Q471" s="72"/>
      <c r="R471" s="72"/>
      <c r="S471" s="72"/>
      <c r="T471" s="72"/>
      <c r="U471" s="72"/>
      <c r="V471" s="72"/>
      <c r="W471" s="72"/>
      <c r="X471" s="72">
        <v>70</v>
      </c>
      <c r="Y471" s="72"/>
      <c r="Z471" s="72"/>
      <c r="AA471" s="72"/>
      <c r="AB471" s="72"/>
      <c r="AC471" s="72">
        <f>IF(N471=0,"",N471*X471)</f>
        <v>1050</v>
      </c>
      <c r="AD471" s="72">
        <f t="shared" si="26"/>
        <v>458.94898821473777</v>
      </c>
      <c r="AE471" s="72">
        <f>$AC471*AJ471</f>
        <v>25.919805062529495</v>
      </c>
      <c r="AF471" s="72"/>
      <c r="AG471" s="72"/>
      <c r="AH471" s="73">
        <v>2025.4</v>
      </c>
      <c r="AI471" s="72">
        <v>0.43709427449022642</v>
      </c>
      <c r="AJ471" s="72">
        <v>2.4685528630980471E-2</v>
      </c>
      <c r="AK471" s="91">
        <f>$AH471*AI471</f>
        <v>885.29074355250464</v>
      </c>
      <c r="AL471" s="91">
        <f t="shared" si="25"/>
        <v>49.998069689187851</v>
      </c>
      <c r="AM471" s="91">
        <v>767.98700799196035</v>
      </c>
      <c r="AN471" s="91">
        <v>372.6741503486287</v>
      </c>
    </row>
    <row r="472" spans="1:40">
      <c r="A472" s="65">
        <v>471</v>
      </c>
      <c r="B472" s="135">
        <v>2020</v>
      </c>
      <c r="C472" s="115" t="s">
        <v>135</v>
      </c>
      <c r="D472" s="116" t="s">
        <v>105</v>
      </c>
      <c r="E472" s="112" t="s">
        <v>23</v>
      </c>
      <c r="F472" s="117" t="s">
        <v>33</v>
      </c>
      <c r="G472" s="134" t="s">
        <v>34</v>
      </c>
      <c r="H472" s="68">
        <v>44112</v>
      </c>
      <c r="I472" s="68">
        <v>44112</v>
      </c>
      <c r="J472" s="132">
        <v>5</v>
      </c>
      <c r="K472" s="70">
        <v>1.32</v>
      </c>
      <c r="L472" s="71"/>
      <c r="M472" s="71"/>
      <c r="N472" s="71"/>
      <c r="P472" s="72"/>
      <c r="Q472" s="72"/>
      <c r="R472" s="72"/>
      <c r="S472" s="72"/>
      <c r="T472" s="72"/>
      <c r="U472" s="72"/>
      <c r="V472" s="72"/>
      <c r="W472" s="72"/>
      <c r="X472" s="72">
        <v>37</v>
      </c>
      <c r="Y472" s="72"/>
      <c r="Z472" s="72"/>
      <c r="AA472" s="72"/>
      <c r="AB472" s="72"/>
      <c r="AC472" s="72" t="str">
        <f>IF(N472=0,"",N472*X472)</f>
        <v/>
      </c>
      <c r="AD472" s="72"/>
      <c r="AE472" s="72"/>
      <c r="AF472" s="72"/>
      <c r="AG472" s="72"/>
      <c r="AH472" s="73">
        <v>1498.4</v>
      </c>
      <c r="AI472" s="72">
        <v>0.43598712288416691</v>
      </c>
      <c r="AJ472" s="72">
        <v>2.7071862622854923E-2</v>
      </c>
      <c r="AK472" s="91">
        <f>$AH472*AI472</f>
        <v>653.28310492963578</v>
      </c>
      <c r="AL472" s="91">
        <f t="shared" si="25"/>
        <v>40.564478954085821</v>
      </c>
      <c r="AM472" s="91">
        <v>473.51057714338975</v>
      </c>
      <c r="AN472" s="91">
        <v>218.53130594671777</v>
      </c>
    </row>
    <row r="473" spans="1:40">
      <c r="A473" s="65">
        <v>472</v>
      </c>
      <c r="B473" s="135">
        <v>2020</v>
      </c>
      <c r="C473" s="115" t="s">
        <v>135</v>
      </c>
      <c r="D473" s="116" t="s">
        <v>105</v>
      </c>
      <c r="E473" s="112" t="s">
        <v>23</v>
      </c>
      <c r="F473" s="117" t="s">
        <v>27</v>
      </c>
      <c r="G473" s="134" t="s">
        <v>45</v>
      </c>
      <c r="H473" s="68">
        <v>44172</v>
      </c>
      <c r="I473" s="68">
        <v>44187</v>
      </c>
      <c r="J473" s="132"/>
      <c r="K473" s="70">
        <v>1.32</v>
      </c>
      <c r="L473" s="71">
        <f>48/(2.61+1.32)*K473</f>
        <v>16.122137404580155</v>
      </c>
      <c r="M473" s="86" t="s">
        <v>192</v>
      </c>
      <c r="N473" s="71">
        <f>L473/K473</f>
        <v>12.213740458015268</v>
      </c>
      <c r="O473" s="48" t="s">
        <v>64</v>
      </c>
      <c r="P473" s="72"/>
      <c r="Q473" s="72"/>
      <c r="R473" s="72"/>
      <c r="S473" s="72"/>
      <c r="T473" s="72"/>
      <c r="U473" s="72"/>
      <c r="V473" s="72"/>
      <c r="W473" s="72"/>
      <c r="X473" s="72"/>
      <c r="Y473" s="72"/>
      <c r="Z473" s="72"/>
      <c r="AA473" s="72"/>
      <c r="AB473" s="72"/>
      <c r="AC473" s="76">
        <f>AF473*N473*AG473</f>
        <v>274.80916030534354</v>
      </c>
      <c r="AD473" s="72">
        <f>IF(AC473=0,"",AC473*AI473)</f>
        <v>116.89135209763303</v>
      </c>
      <c r="AE473" s="72">
        <f>$AC473*AJ473</f>
        <v>8.4396262333103049</v>
      </c>
      <c r="AF473" s="72">
        <f>I473-H473</f>
        <v>15</v>
      </c>
      <c r="AG473" s="72">
        <v>1.5</v>
      </c>
      <c r="AH473" s="73">
        <v>870</v>
      </c>
      <c r="AI473" s="72">
        <v>0.4253546423552757</v>
      </c>
      <c r="AJ473" s="72">
        <v>3.0710862126768049E-2</v>
      </c>
      <c r="AK473" s="91">
        <f>$AH473*AI473</f>
        <v>370.05853884908987</v>
      </c>
      <c r="AL473" s="91">
        <f t="shared" si="25"/>
        <v>26.718450050288205</v>
      </c>
      <c r="AM473" s="91">
        <v>410.95255200570296</v>
      </c>
      <c r="AN473" s="91">
        <v>109.75436481698654</v>
      </c>
    </row>
    <row r="474" spans="1:40">
      <c r="A474" s="65">
        <v>473</v>
      </c>
      <c r="B474" s="135">
        <v>2020</v>
      </c>
      <c r="C474" s="118" t="s">
        <v>136</v>
      </c>
      <c r="D474" s="116" t="s">
        <v>105</v>
      </c>
      <c r="E474" s="112" t="s">
        <v>24</v>
      </c>
      <c r="F474" s="117" t="s">
        <v>31</v>
      </c>
      <c r="G474" s="133" t="s">
        <v>175</v>
      </c>
      <c r="H474" s="68">
        <v>43927</v>
      </c>
      <c r="I474" s="68">
        <v>43927</v>
      </c>
      <c r="J474" s="132"/>
      <c r="K474" s="70">
        <v>2.61</v>
      </c>
      <c r="L474" s="71">
        <v>1.53</v>
      </c>
      <c r="M474" s="71"/>
      <c r="N474" s="71">
        <v>0.57999999999999996</v>
      </c>
      <c r="O474" s="48" t="s">
        <v>174</v>
      </c>
      <c r="P474" s="72"/>
      <c r="Q474" s="72"/>
      <c r="R474" s="72"/>
      <c r="S474" s="72"/>
      <c r="T474" s="72"/>
      <c r="U474" s="72"/>
      <c r="V474" s="72"/>
      <c r="W474" s="72"/>
      <c r="X474" s="72"/>
      <c r="Y474" s="72"/>
      <c r="Z474" s="72"/>
      <c r="AA474" s="72"/>
      <c r="AB474" s="72"/>
      <c r="AC474" s="72"/>
      <c r="AD474" s="72"/>
      <c r="AE474" s="72"/>
      <c r="AF474" s="72"/>
      <c r="AG474" s="72"/>
      <c r="AH474" s="74"/>
      <c r="AI474" s="72"/>
      <c r="AJ474" s="72"/>
      <c r="AK474" s="72"/>
      <c r="AL474" s="91"/>
      <c r="AM474" s="91"/>
      <c r="AN474" s="91"/>
    </row>
    <row r="475" spans="1:40">
      <c r="A475" s="65">
        <v>474</v>
      </c>
      <c r="B475" s="135">
        <v>2020</v>
      </c>
      <c r="C475" s="118" t="s">
        <v>136</v>
      </c>
      <c r="D475" s="116" t="s">
        <v>105</v>
      </c>
      <c r="E475" s="112" t="s">
        <v>23</v>
      </c>
      <c r="F475" s="117" t="s">
        <v>33</v>
      </c>
      <c r="G475" s="133" t="s">
        <v>43</v>
      </c>
      <c r="H475" s="68">
        <v>43943</v>
      </c>
      <c r="I475" s="68">
        <v>43943</v>
      </c>
      <c r="J475" s="132">
        <v>1</v>
      </c>
      <c r="K475" s="70">
        <v>2.61</v>
      </c>
      <c r="L475" s="71"/>
      <c r="M475" s="71"/>
      <c r="N475" s="71"/>
      <c r="P475" s="72"/>
      <c r="Q475" s="72"/>
      <c r="R475" s="72"/>
      <c r="S475" s="72"/>
      <c r="T475" s="72"/>
      <c r="U475" s="72"/>
      <c r="V475" s="72"/>
      <c r="W475" s="72"/>
      <c r="X475" s="72">
        <v>86</v>
      </c>
      <c r="Y475" s="72"/>
      <c r="Z475" s="72"/>
      <c r="AA475" s="72"/>
      <c r="AB475" s="72"/>
      <c r="AC475" s="72" t="str">
        <f>IF(N475=0,"",N475*X475)</f>
        <v/>
      </c>
      <c r="AD475" s="72"/>
      <c r="AE475" s="72"/>
      <c r="AF475" s="72"/>
      <c r="AG475" s="72"/>
      <c r="AH475" s="73">
        <v>1447.6</v>
      </c>
      <c r="AI475" s="72">
        <v>0.44441257496036235</v>
      </c>
      <c r="AJ475" s="72">
        <v>2.0719945126532847E-2</v>
      </c>
      <c r="AK475" s="91">
        <f t="shared" ref="AK475:AK484" si="30">$AH475*AI475</f>
        <v>643.33164351262053</v>
      </c>
      <c r="AL475" s="91">
        <f t="shared" si="25"/>
        <v>29.994192565168948</v>
      </c>
      <c r="AM475" s="91">
        <v>479.92735561402048</v>
      </c>
      <c r="AN475" s="91">
        <v>176.2050371848182</v>
      </c>
    </row>
    <row r="476" spans="1:40">
      <c r="A476" s="65">
        <v>475</v>
      </c>
      <c r="B476" s="135">
        <v>2020</v>
      </c>
      <c r="C476" s="118" t="s">
        <v>136</v>
      </c>
      <c r="D476" s="116" t="s">
        <v>105</v>
      </c>
      <c r="E476" s="112" t="s">
        <v>23</v>
      </c>
      <c r="F476" s="117" t="s">
        <v>33</v>
      </c>
      <c r="G476" s="116" t="s">
        <v>41</v>
      </c>
      <c r="H476" s="68">
        <v>43976</v>
      </c>
      <c r="I476" s="68">
        <v>43976</v>
      </c>
      <c r="J476" s="132">
        <v>2</v>
      </c>
      <c r="K476" s="70">
        <v>2.61</v>
      </c>
      <c r="L476" s="71">
        <f>N476*K476</f>
        <v>65.25</v>
      </c>
      <c r="M476" s="71"/>
      <c r="N476" s="71">
        <v>25</v>
      </c>
      <c r="O476" s="48" t="s">
        <v>80</v>
      </c>
      <c r="P476" s="72"/>
      <c r="Q476" s="72"/>
      <c r="R476" s="72"/>
      <c r="S476" s="72"/>
      <c r="T476" s="72"/>
      <c r="U476" s="72"/>
      <c r="V476" s="72"/>
      <c r="W476" s="72"/>
      <c r="X476" s="72">
        <v>70</v>
      </c>
      <c r="Y476" s="72"/>
      <c r="Z476" s="72"/>
      <c r="AA476" s="72"/>
      <c r="AB476" s="72"/>
      <c r="AC476" s="72">
        <f>IF(N476=0,"",N476*X476)</f>
        <v>1750</v>
      </c>
      <c r="AD476" s="72">
        <f>IF(AC476=0,"",AC476*AI476)</f>
        <v>780.95233873209793</v>
      </c>
      <c r="AE476" s="72">
        <f>$AC476*AJ476</f>
        <v>33.310446394747323</v>
      </c>
      <c r="AF476" s="72"/>
      <c r="AG476" s="72"/>
      <c r="AH476" s="73">
        <v>1869</v>
      </c>
      <c r="AI476" s="72">
        <v>0.44625847927548451</v>
      </c>
      <c r="AJ476" s="72">
        <v>1.903454079699847E-2</v>
      </c>
      <c r="AK476" s="91">
        <f t="shared" si="30"/>
        <v>834.0570977658806</v>
      </c>
      <c r="AL476" s="91">
        <f t="shared" si="25"/>
        <v>35.575556749590142</v>
      </c>
      <c r="AM476" s="91">
        <v>500.23927608029072</v>
      </c>
      <c r="AN476" s="91">
        <v>161.5778635196659</v>
      </c>
    </row>
    <row r="477" spans="1:40">
      <c r="A477" s="65">
        <v>476</v>
      </c>
      <c r="B477" s="135">
        <v>2020</v>
      </c>
      <c r="C477" s="118" t="s">
        <v>136</v>
      </c>
      <c r="D477" s="116" t="s">
        <v>105</v>
      </c>
      <c r="E477" s="112" t="s">
        <v>23</v>
      </c>
      <c r="F477" s="117" t="s">
        <v>33</v>
      </c>
      <c r="G477" s="116" t="s">
        <v>41</v>
      </c>
      <c r="H477" s="68">
        <v>44018</v>
      </c>
      <c r="I477" s="68">
        <v>44018</v>
      </c>
      <c r="J477" s="132">
        <v>3</v>
      </c>
      <c r="K477" s="70">
        <v>2.61</v>
      </c>
      <c r="L477" s="71">
        <f t="shared" ref="L477:L478" si="31">N477*K477</f>
        <v>52.199999999999996</v>
      </c>
      <c r="M477" s="71"/>
      <c r="N477" s="71">
        <v>20</v>
      </c>
      <c r="O477" s="48" t="s">
        <v>80</v>
      </c>
      <c r="P477" s="72"/>
      <c r="Q477" s="72"/>
      <c r="R477" s="72"/>
      <c r="S477" s="72"/>
      <c r="T477" s="72"/>
      <c r="U477" s="72"/>
      <c r="V477" s="72"/>
      <c r="W477" s="72"/>
      <c r="X477" s="72">
        <v>37</v>
      </c>
      <c r="Y477" s="72"/>
      <c r="Z477" s="72"/>
      <c r="AA477" s="72"/>
      <c r="AB477" s="72"/>
      <c r="AC477" s="72">
        <f>IF(N477=0,"",N477*X477)</f>
        <v>740</v>
      </c>
      <c r="AD477" s="72">
        <f>IF(AC477=0,"",AC477*AI477)</f>
        <v>329.44249184012227</v>
      </c>
      <c r="AE477" s="72">
        <f>$AC477*AJ477</f>
        <v>15.22266829484111</v>
      </c>
      <c r="AF477" s="72"/>
      <c r="AG477" s="72"/>
      <c r="AH477" s="73">
        <v>1692.9</v>
      </c>
      <c r="AI477" s="72">
        <v>0.44519255654070577</v>
      </c>
      <c r="AJ477" s="72">
        <v>2.0571173371406907E-2</v>
      </c>
      <c r="AK477" s="91">
        <f t="shared" si="30"/>
        <v>753.6664789677609</v>
      </c>
      <c r="AL477" s="91">
        <f t="shared" si="25"/>
        <v>34.824939400454753</v>
      </c>
      <c r="AM477" s="91">
        <v>682.15254892142696</v>
      </c>
      <c r="AN477" s="91">
        <v>267.52574291824794</v>
      </c>
    </row>
    <row r="478" spans="1:40">
      <c r="A478" s="65">
        <v>477</v>
      </c>
      <c r="B478" s="135">
        <v>2020</v>
      </c>
      <c r="C478" s="118" t="s">
        <v>136</v>
      </c>
      <c r="D478" s="116" t="s">
        <v>105</v>
      </c>
      <c r="E478" s="112" t="s">
        <v>23</v>
      </c>
      <c r="F478" s="117" t="s">
        <v>33</v>
      </c>
      <c r="G478" s="116" t="s">
        <v>41</v>
      </c>
      <c r="H478" s="68">
        <v>44062</v>
      </c>
      <c r="I478" s="68">
        <v>44062</v>
      </c>
      <c r="J478" s="132">
        <v>4</v>
      </c>
      <c r="K478" s="70">
        <v>2.61</v>
      </c>
      <c r="L478" s="71">
        <f t="shared" si="31"/>
        <v>39.15</v>
      </c>
      <c r="M478" s="71"/>
      <c r="N478" s="71">
        <v>15</v>
      </c>
      <c r="O478" s="48" t="s">
        <v>80</v>
      </c>
      <c r="P478" s="72"/>
      <c r="Q478" s="72"/>
      <c r="R478" s="72"/>
      <c r="S478" s="72"/>
      <c r="T478" s="72"/>
      <c r="U478" s="72"/>
      <c r="V478" s="72"/>
      <c r="W478" s="72"/>
      <c r="X478" s="72">
        <v>70</v>
      </c>
      <c r="Y478" s="72"/>
      <c r="Z478" s="72"/>
      <c r="AA478" s="72"/>
      <c r="AB478" s="72"/>
      <c r="AC478" s="72">
        <f>IF(N478=0,"",N478*X478)</f>
        <v>1050</v>
      </c>
      <c r="AD478" s="72">
        <f t="shared" ref="AD478:AD480" si="32">IF(AC478=0,"",AC478*AI478)</f>
        <v>466.41362347498574</v>
      </c>
      <c r="AE478" s="72">
        <f>$AC478*AJ478</f>
        <v>27.074470483120169</v>
      </c>
      <c r="AF478" s="72"/>
      <c r="AG478" s="72"/>
      <c r="AH478" s="73">
        <v>1713.1</v>
      </c>
      <c r="AI478" s="72">
        <v>0.44420345092855784</v>
      </c>
      <c r="AJ478" s="72">
        <v>2.578520998392397E-2</v>
      </c>
      <c r="AK478" s="91">
        <f t="shared" si="30"/>
        <v>760.96493178571245</v>
      </c>
      <c r="AL478" s="91">
        <f t="shared" si="25"/>
        <v>44.172643223460149</v>
      </c>
      <c r="AM478" s="91">
        <v>702.64633904815696</v>
      </c>
      <c r="AN478" s="91">
        <v>268.19192877069219</v>
      </c>
    </row>
    <row r="479" spans="1:40">
      <c r="A479" s="65">
        <v>478</v>
      </c>
      <c r="B479" s="135">
        <v>2020</v>
      </c>
      <c r="C479" s="118" t="s">
        <v>136</v>
      </c>
      <c r="D479" s="116" t="s">
        <v>105</v>
      </c>
      <c r="E479" s="112" t="s">
        <v>23</v>
      </c>
      <c r="F479" s="117" t="s">
        <v>33</v>
      </c>
      <c r="G479" s="134" t="s">
        <v>34</v>
      </c>
      <c r="H479" s="68">
        <v>44112</v>
      </c>
      <c r="I479" s="68">
        <v>44112</v>
      </c>
      <c r="J479" s="132">
        <v>5</v>
      </c>
      <c r="K479" s="70">
        <v>2.61</v>
      </c>
      <c r="L479" s="71"/>
      <c r="M479" s="71"/>
      <c r="N479" s="71"/>
      <c r="P479" s="72"/>
      <c r="Q479" s="72"/>
      <c r="R479" s="72"/>
      <c r="S479" s="72"/>
      <c r="T479" s="72"/>
      <c r="U479" s="72"/>
      <c r="V479" s="72"/>
      <c r="W479" s="72"/>
      <c r="X479" s="72">
        <v>37</v>
      </c>
      <c r="Y479" s="72"/>
      <c r="Z479" s="72"/>
      <c r="AA479" s="72"/>
      <c r="AB479" s="72"/>
      <c r="AC479" s="72" t="str">
        <f>IF(N479=0,"",N479*X479)</f>
        <v/>
      </c>
      <c r="AD479" s="72"/>
      <c r="AE479" s="72"/>
      <c r="AF479" s="72"/>
      <c r="AG479" s="72"/>
      <c r="AH479" s="73">
        <v>1297.2</v>
      </c>
      <c r="AI479" s="72">
        <v>0.4440289148110288</v>
      </c>
      <c r="AJ479" s="72">
        <v>2.9092039859873152E-2</v>
      </c>
      <c r="AK479" s="91">
        <f t="shared" si="30"/>
        <v>575.99430829286655</v>
      </c>
      <c r="AL479" s="91">
        <f t="shared" si="25"/>
        <v>37.738194106227454</v>
      </c>
      <c r="AM479" s="91">
        <v>304.56413227211618</v>
      </c>
      <c r="AN479" s="91">
        <v>95.61800814797617</v>
      </c>
    </row>
    <row r="480" spans="1:40">
      <c r="A480" s="65">
        <v>479</v>
      </c>
      <c r="B480" s="135">
        <v>2020</v>
      </c>
      <c r="C480" s="118" t="s">
        <v>136</v>
      </c>
      <c r="D480" s="116" t="s">
        <v>105</v>
      </c>
      <c r="E480" s="112" t="s">
        <v>23</v>
      </c>
      <c r="F480" s="117" t="s">
        <v>27</v>
      </c>
      <c r="G480" s="134" t="s">
        <v>45</v>
      </c>
      <c r="H480" s="68">
        <v>44172</v>
      </c>
      <c r="I480" s="68">
        <v>44187</v>
      </c>
      <c r="J480" s="132"/>
      <c r="K480" s="70">
        <v>2.61</v>
      </c>
      <c r="L480" s="71">
        <f>48/(2.61+1.32)*K480</f>
        <v>31.877862595419849</v>
      </c>
      <c r="M480" s="86" t="s">
        <v>192</v>
      </c>
      <c r="N480" s="71">
        <f>L480/K480</f>
        <v>12.213740458015268</v>
      </c>
      <c r="O480" s="48" t="s">
        <v>64</v>
      </c>
      <c r="P480" s="72"/>
      <c r="Q480" s="72"/>
      <c r="R480" s="72"/>
      <c r="S480" s="72"/>
      <c r="T480" s="72"/>
      <c r="U480" s="72"/>
      <c r="V480" s="72"/>
      <c r="W480" s="72"/>
      <c r="X480" s="72"/>
      <c r="Y480" s="72"/>
      <c r="Z480" s="72"/>
      <c r="AA480" s="72"/>
      <c r="AB480" s="72"/>
      <c r="AC480" s="76">
        <f>AF480*N480*AG480</f>
        <v>274.80916030534354</v>
      </c>
      <c r="AD480" s="72">
        <f t="shared" si="32"/>
        <v>119.60638432125265</v>
      </c>
      <c r="AE480" s="72">
        <f>$AC480*AJ480</f>
        <v>9.1936123540079109</v>
      </c>
      <c r="AF480" s="72">
        <f>I480-H480</f>
        <v>15</v>
      </c>
      <c r="AG480" s="72">
        <v>1.5</v>
      </c>
      <c r="AH480" s="73">
        <v>452.3</v>
      </c>
      <c r="AI480" s="72">
        <v>0.43523434294678043</v>
      </c>
      <c r="AJ480" s="72">
        <v>3.3454533843751008E-2</v>
      </c>
      <c r="AK480" s="91">
        <f t="shared" si="30"/>
        <v>196.85649331482878</v>
      </c>
      <c r="AL480" s="91">
        <f t="shared" si="25"/>
        <v>15.131485657528581</v>
      </c>
      <c r="AM480" s="91">
        <v>280.45599773701883</v>
      </c>
      <c r="AN480" s="91">
        <v>178.64279487344785</v>
      </c>
    </row>
    <row r="481" spans="1:40">
      <c r="A481" s="65">
        <v>480</v>
      </c>
      <c r="B481" s="136">
        <v>2021</v>
      </c>
      <c r="C481" s="115" t="s">
        <v>135</v>
      </c>
      <c r="D481" s="116" t="s">
        <v>105</v>
      </c>
      <c r="E481" s="112" t="s">
        <v>15</v>
      </c>
      <c r="F481" s="117" t="s">
        <v>35</v>
      </c>
      <c r="G481" s="134" t="s">
        <v>46</v>
      </c>
      <c r="H481" s="68">
        <v>44250</v>
      </c>
      <c r="I481" s="68">
        <v>44250</v>
      </c>
      <c r="J481" s="132"/>
      <c r="K481" s="70">
        <v>1.32</v>
      </c>
      <c r="L481" s="71">
        <f t="shared" ref="L481" si="33">N481*K481</f>
        <v>79.2</v>
      </c>
      <c r="M481" s="71"/>
      <c r="N481" s="71">
        <v>60</v>
      </c>
      <c r="O481" s="48" t="s">
        <v>5</v>
      </c>
      <c r="P481" s="72">
        <v>66.8</v>
      </c>
      <c r="Q481" s="72">
        <v>40.299999999999997</v>
      </c>
      <c r="R481" s="72"/>
      <c r="S481" s="72">
        <v>374.6</v>
      </c>
      <c r="T481" s="73">
        <v>5.61</v>
      </c>
      <c r="U481" s="72">
        <f>N481*1000*X481/100</f>
        <v>1740</v>
      </c>
      <c r="V481" s="72">
        <f>S481*U481/1000</f>
        <v>651.80399999999997</v>
      </c>
      <c r="W481" s="72">
        <f>P481*U481/1000</f>
        <v>116.232</v>
      </c>
      <c r="X481" s="72">
        <v>2.9</v>
      </c>
      <c r="Y481" s="72"/>
      <c r="Z481" s="73">
        <v>30.42</v>
      </c>
      <c r="AA481" s="73">
        <v>74.48</v>
      </c>
      <c r="AB481" s="73">
        <v>8.1300000000000008</v>
      </c>
      <c r="AC481" s="72"/>
      <c r="AD481" s="72"/>
      <c r="AE481" s="72"/>
      <c r="AF481" s="72"/>
      <c r="AG481" s="72"/>
      <c r="AH481" s="74"/>
      <c r="AI481" s="72"/>
      <c r="AJ481" s="72"/>
      <c r="AK481" s="91"/>
      <c r="AL481" s="91"/>
      <c r="AM481" s="91"/>
      <c r="AN481" s="91"/>
    </row>
    <row r="482" spans="1:40">
      <c r="A482" s="65">
        <v>481</v>
      </c>
      <c r="B482" s="136">
        <v>2021</v>
      </c>
      <c r="C482" s="115" t="s">
        <v>135</v>
      </c>
      <c r="D482" s="116" t="s">
        <v>105</v>
      </c>
      <c r="E482" s="112" t="s">
        <v>23</v>
      </c>
      <c r="F482" s="117" t="s">
        <v>33</v>
      </c>
      <c r="G482" s="134" t="s">
        <v>34</v>
      </c>
      <c r="H482" s="68">
        <v>44319</v>
      </c>
      <c r="I482" s="68">
        <v>44319</v>
      </c>
      <c r="J482" s="132">
        <v>1</v>
      </c>
      <c r="K482" s="70">
        <v>1.32</v>
      </c>
      <c r="L482" s="71"/>
      <c r="M482" s="71"/>
      <c r="N482" s="71">
        <v>30</v>
      </c>
      <c r="O482" s="48" t="s">
        <v>80</v>
      </c>
      <c r="P482" s="72"/>
      <c r="Q482" s="72"/>
      <c r="R482" s="72"/>
      <c r="S482" s="72"/>
      <c r="T482" s="72"/>
      <c r="U482" s="72"/>
      <c r="V482" s="72"/>
      <c r="W482" s="72"/>
      <c r="X482" s="72">
        <v>37</v>
      </c>
      <c r="Y482" s="72"/>
      <c r="Z482" s="72"/>
      <c r="AA482" s="72"/>
      <c r="AB482" s="72"/>
      <c r="AC482" s="72"/>
      <c r="AD482" s="72"/>
      <c r="AE482" s="72"/>
      <c r="AF482" s="72"/>
      <c r="AG482" s="72"/>
      <c r="AH482" s="73">
        <v>3711.6666666666665</v>
      </c>
      <c r="AI482" s="72">
        <v>0.44053684957370121</v>
      </c>
      <c r="AJ482" s="72">
        <v>2.0239214365970839E-2</v>
      </c>
      <c r="AK482" s="91">
        <f t="shared" si="30"/>
        <v>1635.1259400010542</v>
      </c>
      <c r="AL482" s="91">
        <f>$AH482*AJ482</f>
        <v>75.121217321695099</v>
      </c>
      <c r="AM482" s="91"/>
      <c r="AN482" s="91"/>
    </row>
    <row r="483" spans="1:40">
      <c r="A483" s="65">
        <v>482</v>
      </c>
      <c r="B483" s="136">
        <v>2021</v>
      </c>
      <c r="C483" s="115" t="s">
        <v>135</v>
      </c>
      <c r="D483" s="116" t="s">
        <v>105</v>
      </c>
      <c r="E483" s="112" t="s">
        <v>15</v>
      </c>
      <c r="F483" s="117" t="s">
        <v>35</v>
      </c>
      <c r="G483" s="134" t="s">
        <v>46</v>
      </c>
      <c r="H483" s="68">
        <v>44323</v>
      </c>
      <c r="I483" s="68">
        <v>44323</v>
      </c>
      <c r="J483" s="132"/>
      <c r="K483" s="70">
        <v>1.32</v>
      </c>
      <c r="L483" s="71">
        <f t="shared" ref="L483" si="34">N483*K483</f>
        <v>56.596319999999999</v>
      </c>
      <c r="M483" s="71"/>
      <c r="N483" s="71">
        <v>42.875999999999998</v>
      </c>
      <c r="O483" s="48" t="s">
        <v>5</v>
      </c>
      <c r="P483" s="72">
        <v>78.3</v>
      </c>
      <c r="Q483" s="72">
        <v>46.9</v>
      </c>
      <c r="R483" s="72"/>
      <c r="S483" s="72">
        <v>214.6</v>
      </c>
      <c r="T483" s="73">
        <v>2.74</v>
      </c>
      <c r="U483" s="72">
        <f>N483*1000*X483/100</f>
        <v>643.14</v>
      </c>
      <c r="V483" s="72">
        <f>S483*U483/1000</f>
        <v>138.017844</v>
      </c>
      <c r="W483" s="72">
        <f>P483*U483/1000</f>
        <v>50.357861999999997</v>
      </c>
      <c r="X483" s="72">
        <v>1.5</v>
      </c>
      <c r="Y483" s="72"/>
      <c r="Z483" s="73">
        <v>22.29</v>
      </c>
      <c r="AA483" s="73">
        <v>159.97</v>
      </c>
      <c r="AB483" s="73">
        <v>5.0599999999999996</v>
      </c>
      <c r="AC483" s="72"/>
      <c r="AD483" s="72"/>
      <c r="AE483" s="72"/>
      <c r="AF483" s="72"/>
      <c r="AG483" s="72"/>
      <c r="AH483" s="74"/>
      <c r="AI483" s="72"/>
      <c r="AJ483" s="72"/>
      <c r="AK483" s="91"/>
      <c r="AL483" s="72"/>
    </row>
    <row r="484" spans="1:40">
      <c r="A484" s="65">
        <v>483</v>
      </c>
      <c r="B484" s="136">
        <v>2021</v>
      </c>
      <c r="C484" s="115" t="s">
        <v>135</v>
      </c>
      <c r="D484" s="116" t="s">
        <v>105</v>
      </c>
      <c r="E484" s="112" t="s">
        <v>23</v>
      </c>
      <c r="F484" s="117" t="s">
        <v>33</v>
      </c>
      <c r="G484" s="134"/>
      <c r="H484" s="68">
        <v>44359</v>
      </c>
      <c r="I484" s="68">
        <v>44359</v>
      </c>
      <c r="J484" s="132">
        <v>2</v>
      </c>
      <c r="K484" s="70">
        <v>1.32</v>
      </c>
      <c r="L484" s="71"/>
      <c r="M484" s="71"/>
      <c r="N484" s="71">
        <v>25</v>
      </c>
      <c r="O484" s="48" t="s">
        <v>80</v>
      </c>
      <c r="P484" s="72"/>
      <c r="Q484" s="72"/>
      <c r="R484" s="72"/>
      <c r="S484" s="72"/>
      <c r="T484" s="72"/>
      <c r="U484" s="72"/>
      <c r="V484" s="72"/>
      <c r="W484" s="72"/>
      <c r="X484" s="72"/>
      <c r="Y484" s="72"/>
      <c r="Z484" s="72"/>
      <c r="AA484" s="72"/>
      <c r="AB484" s="72"/>
      <c r="AC484" s="72"/>
      <c r="AD484" s="72"/>
      <c r="AE484" s="72"/>
      <c r="AF484" s="72"/>
      <c r="AG484" s="72"/>
      <c r="AH484" s="73">
        <v>2841.9</v>
      </c>
      <c r="AI484" s="72">
        <v>0.44661075258162802</v>
      </c>
      <c r="AJ484" s="72">
        <v>1.4599999999999997E-2</v>
      </c>
      <c r="AK484" s="91">
        <f t="shared" si="30"/>
        <v>1269.2230977617287</v>
      </c>
      <c r="AL484" s="91">
        <f>$AH484*AJ484</f>
        <v>41.491739999999993</v>
      </c>
    </row>
    <row r="485" spans="1:40">
      <c r="A485" s="65">
        <v>484</v>
      </c>
      <c r="B485" s="136">
        <v>2021</v>
      </c>
      <c r="C485" s="115" t="s">
        <v>135</v>
      </c>
      <c r="D485" s="116" t="s">
        <v>105</v>
      </c>
      <c r="E485" s="112" t="s">
        <v>15</v>
      </c>
      <c r="F485" s="117" t="s">
        <v>35</v>
      </c>
      <c r="G485" s="134" t="s">
        <v>46</v>
      </c>
      <c r="H485" s="68">
        <v>44365</v>
      </c>
      <c r="I485" s="68">
        <v>44365</v>
      </c>
      <c r="J485" s="132"/>
      <c r="K485" s="70">
        <v>1.32</v>
      </c>
      <c r="L485" s="71">
        <f>N485*K485</f>
        <v>36.96</v>
      </c>
      <c r="M485" s="71"/>
      <c r="N485" s="71">
        <v>28</v>
      </c>
      <c r="O485" s="48" t="s">
        <v>5</v>
      </c>
      <c r="P485" s="72">
        <v>145</v>
      </c>
      <c r="Q485" s="72">
        <v>100</v>
      </c>
      <c r="R485" s="72"/>
      <c r="S485" s="72">
        <v>293.8</v>
      </c>
      <c r="T485" s="73">
        <v>2.0299999999999998</v>
      </c>
      <c r="U485" s="72">
        <f>N485*1000*X485/100</f>
        <v>364</v>
      </c>
      <c r="V485" s="72">
        <f>S485*U485/1000</f>
        <v>106.94319999999999</v>
      </c>
      <c r="W485" s="72">
        <f>P485*U485/1000</f>
        <v>52.78</v>
      </c>
      <c r="X485" s="72">
        <v>1.3</v>
      </c>
      <c r="Y485" s="72"/>
      <c r="Z485" s="73">
        <v>17.46</v>
      </c>
      <c r="AA485" s="73">
        <v>214.74</v>
      </c>
      <c r="AB485" s="73">
        <v>5.12</v>
      </c>
      <c r="AC485" s="72"/>
      <c r="AD485" s="72"/>
      <c r="AE485" s="72"/>
      <c r="AF485" s="72"/>
      <c r="AG485" s="72"/>
      <c r="AH485" s="74"/>
      <c r="AI485" s="72"/>
      <c r="AJ485" s="72"/>
      <c r="AK485" s="91"/>
      <c r="AL485" s="72"/>
    </row>
    <row r="486" spans="1:40">
      <c r="A486" s="65">
        <v>485</v>
      </c>
      <c r="B486" s="136">
        <v>2021</v>
      </c>
      <c r="C486" s="115" t="s">
        <v>135</v>
      </c>
      <c r="D486" s="116" t="s">
        <v>105</v>
      </c>
      <c r="E486" s="112" t="s">
        <v>23</v>
      </c>
      <c r="F486" s="117" t="s">
        <v>33</v>
      </c>
      <c r="G486" s="134"/>
      <c r="H486" s="68">
        <v>44398</v>
      </c>
      <c r="I486" s="68">
        <v>44398</v>
      </c>
      <c r="J486" s="132">
        <v>3</v>
      </c>
      <c r="K486" s="70">
        <v>1.32</v>
      </c>
      <c r="L486" s="71"/>
      <c r="M486" s="71"/>
      <c r="N486" s="71">
        <v>18.95</v>
      </c>
      <c r="O486" s="48" t="s">
        <v>80</v>
      </c>
      <c r="P486" s="72"/>
      <c r="Q486" s="72"/>
      <c r="R486" s="72"/>
      <c r="S486" s="72"/>
      <c r="T486" s="72"/>
      <c r="U486" s="72"/>
      <c r="V486" s="72"/>
      <c r="W486" s="72"/>
      <c r="X486" s="72"/>
      <c r="Y486" s="72"/>
      <c r="Z486" s="72"/>
      <c r="AA486" s="72"/>
      <c r="AB486" s="72"/>
      <c r="AC486" s="72"/>
      <c r="AD486" s="72"/>
      <c r="AE486" s="72"/>
      <c r="AF486" s="72"/>
      <c r="AG486" s="72"/>
      <c r="AH486" s="73">
        <v>1918.94</v>
      </c>
      <c r="AI486" s="72">
        <v>0.43258305675973341</v>
      </c>
      <c r="AJ486" s="72">
        <v>1.9483E-2</v>
      </c>
      <c r="AK486" s="91">
        <f>$AH486*AI486</f>
        <v>830.10093093852288</v>
      </c>
      <c r="AL486" s="91">
        <f>$AH486*AJ486</f>
        <v>37.38670802</v>
      </c>
    </row>
    <row r="487" spans="1:40">
      <c r="A487" s="65">
        <v>486</v>
      </c>
      <c r="B487" s="136">
        <v>2021</v>
      </c>
      <c r="C487" s="115" t="s">
        <v>135</v>
      </c>
      <c r="D487" s="116" t="s">
        <v>105</v>
      </c>
      <c r="E487" s="112" t="s">
        <v>15</v>
      </c>
      <c r="F487" s="117" t="s">
        <v>35</v>
      </c>
      <c r="G487" s="134" t="s">
        <v>46</v>
      </c>
      <c r="H487" s="68">
        <v>44407</v>
      </c>
      <c r="I487" s="68">
        <v>44407</v>
      </c>
      <c r="J487" s="132"/>
      <c r="K487" s="70">
        <v>1.32</v>
      </c>
      <c r="L487" s="71">
        <f>N487*K487</f>
        <v>36.96</v>
      </c>
      <c r="M487" s="71"/>
      <c r="N487" s="71">
        <v>28</v>
      </c>
      <c r="O487" s="48" t="s">
        <v>5</v>
      </c>
      <c r="P487" s="72">
        <v>62.5</v>
      </c>
      <c r="Q487" s="72">
        <v>28.4</v>
      </c>
      <c r="R487" s="72"/>
      <c r="S487" s="72">
        <v>410.2</v>
      </c>
      <c r="T487" s="73">
        <v>6.56</v>
      </c>
      <c r="U487" s="72">
        <f>N487*1000*X487/100</f>
        <v>280</v>
      </c>
      <c r="V487" s="72">
        <f>S487*U487/1000</f>
        <v>114.85599999999999</v>
      </c>
      <c r="W487" s="72">
        <f>P487*U487/1000</f>
        <v>17.5</v>
      </c>
      <c r="X487" s="72">
        <v>1</v>
      </c>
      <c r="Y487" s="72"/>
      <c r="Z487" s="73">
        <v>17.79</v>
      </c>
      <c r="AA487" s="73">
        <v>46.78</v>
      </c>
      <c r="AB487" s="73">
        <v>7.52</v>
      </c>
      <c r="AC487" s="72"/>
      <c r="AD487" s="72"/>
      <c r="AE487" s="72"/>
      <c r="AF487" s="72"/>
      <c r="AG487" s="72"/>
      <c r="AH487" s="72"/>
      <c r="AI487" s="72"/>
      <c r="AJ487" s="72"/>
      <c r="AK487" s="91"/>
      <c r="AL487" s="72"/>
    </row>
    <row r="488" spans="1:40">
      <c r="A488" s="65">
        <v>487</v>
      </c>
      <c r="B488" s="136">
        <v>2021</v>
      </c>
      <c r="C488" s="115" t="s">
        <v>135</v>
      </c>
      <c r="D488" s="116" t="s">
        <v>105</v>
      </c>
      <c r="E488" s="112" t="s">
        <v>24</v>
      </c>
      <c r="F488" s="117" t="s">
        <v>31</v>
      </c>
      <c r="G488" s="133" t="s">
        <v>184</v>
      </c>
      <c r="H488" s="68">
        <v>44421</v>
      </c>
      <c r="I488" s="68">
        <v>44421</v>
      </c>
      <c r="J488" s="132"/>
      <c r="K488" s="70">
        <v>1.32</v>
      </c>
      <c r="L488" s="71">
        <f>N488*K488</f>
        <v>3.3528000000000002</v>
      </c>
      <c r="M488" s="71"/>
      <c r="N488" s="71">
        <v>2.54</v>
      </c>
      <c r="O488" s="48" t="s">
        <v>6</v>
      </c>
      <c r="P488" s="72"/>
      <c r="Q488" s="72"/>
      <c r="R488" s="72"/>
      <c r="S488" s="72"/>
      <c r="T488" s="72"/>
      <c r="U488" s="72"/>
      <c r="V488" s="72"/>
      <c r="W488" s="72"/>
      <c r="X488" s="72"/>
      <c r="Y488" s="72"/>
      <c r="Z488" s="72"/>
      <c r="AA488" s="72"/>
      <c r="AB488" s="72"/>
      <c r="AC488" s="72"/>
      <c r="AD488" s="72"/>
      <c r="AE488" s="72"/>
      <c r="AF488" s="72"/>
      <c r="AG488" s="72"/>
      <c r="AH488" s="74"/>
      <c r="AI488" s="72"/>
      <c r="AJ488" s="72"/>
      <c r="AK488" s="72"/>
      <c r="AL488" s="72"/>
    </row>
    <row r="489" spans="1:40">
      <c r="A489" s="65">
        <v>488</v>
      </c>
      <c r="B489" s="136">
        <v>2021</v>
      </c>
      <c r="C489" s="115" t="s">
        <v>135</v>
      </c>
      <c r="D489" s="116" t="s">
        <v>105</v>
      </c>
      <c r="E489" s="112" t="s">
        <v>22</v>
      </c>
      <c r="F489" s="117" t="s">
        <v>186</v>
      </c>
      <c r="G489" s="133" t="s">
        <v>189</v>
      </c>
      <c r="H489" s="68">
        <v>44428</v>
      </c>
      <c r="I489" s="68">
        <v>44428</v>
      </c>
      <c r="J489" s="132"/>
      <c r="K489" s="70">
        <v>1.32</v>
      </c>
      <c r="L489" s="71"/>
      <c r="M489" s="71"/>
      <c r="N489" s="71"/>
      <c r="P489" s="72"/>
      <c r="Q489" s="72"/>
      <c r="R489" s="72"/>
      <c r="S489" s="72"/>
      <c r="T489" s="72"/>
      <c r="U489" s="72"/>
      <c r="V489" s="72"/>
      <c r="W489" s="72"/>
      <c r="X489" s="72"/>
      <c r="Y489" s="72"/>
      <c r="Z489" s="72"/>
      <c r="AA489" s="72"/>
      <c r="AB489" s="72"/>
      <c r="AC489" s="72"/>
      <c r="AD489" s="72"/>
      <c r="AE489" s="72"/>
      <c r="AF489" s="72"/>
      <c r="AG489" s="72"/>
      <c r="AH489" s="74"/>
      <c r="AI489" s="72"/>
      <c r="AJ489" s="72"/>
      <c r="AK489" s="72"/>
      <c r="AL489" s="72"/>
    </row>
    <row r="490" spans="1:40">
      <c r="A490" s="65">
        <v>489</v>
      </c>
      <c r="B490" s="136">
        <v>2021</v>
      </c>
      <c r="C490" s="115" t="s">
        <v>135</v>
      </c>
      <c r="D490" s="116" t="s">
        <v>105</v>
      </c>
      <c r="E490" s="117" t="s">
        <v>21</v>
      </c>
      <c r="F490" s="117" t="s">
        <v>39</v>
      </c>
      <c r="G490" s="133" t="s">
        <v>188</v>
      </c>
      <c r="H490" s="68">
        <v>44428</v>
      </c>
      <c r="I490" s="68">
        <v>44428</v>
      </c>
      <c r="J490" s="132"/>
      <c r="K490" s="70">
        <v>1.32</v>
      </c>
      <c r="L490" s="71">
        <f>N490*K490</f>
        <v>46.2</v>
      </c>
      <c r="M490" s="71" t="s">
        <v>194</v>
      </c>
      <c r="N490" s="71">
        <v>35</v>
      </c>
      <c r="O490" s="48" t="s">
        <v>3</v>
      </c>
      <c r="P490" s="72"/>
      <c r="Q490" s="72"/>
      <c r="R490" s="72"/>
      <c r="S490" s="72"/>
      <c r="T490" s="72"/>
      <c r="U490" s="72"/>
      <c r="V490" s="72"/>
      <c r="W490" s="72"/>
      <c r="X490" s="72"/>
      <c r="Y490" s="72"/>
      <c r="Z490" s="72"/>
      <c r="AA490" s="72"/>
      <c r="AB490" s="72"/>
      <c r="AC490" s="72"/>
      <c r="AD490" s="72"/>
      <c r="AE490" s="72"/>
      <c r="AF490" s="72"/>
      <c r="AG490" s="72"/>
      <c r="AH490" s="74"/>
      <c r="AI490" s="72"/>
      <c r="AJ490" s="72"/>
      <c r="AK490" s="72"/>
      <c r="AL490" s="72"/>
    </row>
    <row r="491" spans="1:40">
      <c r="A491" s="65">
        <v>490</v>
      </c>
      <c r="B491" s="136">
        <v>2021</v>
      </c>
      <c r="C491" s="115" t="s">
        <v>135</v>
      </c>
      <c r="D491" s="116" t="s">
        <v>105</v>
      </c>
      <c r="E491" s="117" t="s">
        <v>21</v>
      </c>
      <c r="F491" s="117" t="s">
        <v>39</v>
      </c>
      <c r="G491" s="133" t="s">
        <v>188</v>
      </c>
      <c r="H491" s="68">
        <v>44448</v>
      </c>
      <c r="I491" s="68">
        <v>44448</v>
      </c>
      <c r="J491" s="132"/>
      <c r="K491" s="70"/>
      <c r="L491" s="71"/>
      <c r="M491" s="71" t="s">
        <v>194</v>
      </c>
      <c r="N491" s="71">
        <v>35</v>
      </c>
      <c r="O491" s="48" t="s">
        <v>3</v>
      </c>
      <c r="P491" s="72"/>
      <c r="Q491" s="72"/>
      <c r="R491" s="72"/>
      <c r="S491" s="72"/>
      <c r="T491" s="72"/>
      <c r="U491" s="72"/>
      <c r="V491" s="72"/>
      <c r="W491" s="72"/>
      <c r="X491" s="72"/>
      <c r="Y491" s="72"/>
      <c r="Z491" s="72"/>
      <c r="AA491" s="72"/>
      <c r="AB491" s="72"/>
      <c r="AC491" s="72"/>
      <c r="AD491" s="72"/>
      <c r="AE491" s="72"/>
      <c r="AF491" s="72"/>
      <c r="AG491" s="72"/>
      <c r="AH491" s="74"/>
      <c r="AI491" s="72"/>
      <c r="AJ491" s="72"/>
      <c r="AK491" s="72"/>
      <c r="AL491" s="72"/>
    </row>
    <row r="492" spans="1:40">
      <c r="A492" s="65">
        <v>491</v>
      </c>
      <c r="B492" s="136">
        <v>2021</v>
      </c>
      <c r="C492" s="115" t="s">
        <v>135</v>
      </c>
      <c r="D492" s="116" t="s">
        <v>105</v>
      </c>
      <c r="E492" s="117" t="s">
        <v>23</v>
      </c>
      <c r="F492" s="117" t="s">
        <v>33</v>
      </c>
      <c r="G492" s="133"/>
      <c r="H492" s="68">
        <v>44482</v>
      </c>
      <c r="I492" s="68">
        <v>44482</v>
      </c>
      <c r="J492" s="132">
        <v>4</v>
      </c>
      <c r="K492" s="70">
        <v>1.32</v>
      </c>
      <c r="L492" s="71"/>
      <c r="M492" s="71"/>
      <c r="N492" s="71">
        <v>11.37</v>
      </c>
      <c r="O492" s="48" t="s">
        <v>80</v>
      </c>
      <c r="P492" s="72"/>
      <c r="Q492" s="72"/>
      <c r="R492" s="72"/>
      <c r="S492" s="72"/>
      <c r="T492" s="72"/>
      <c r="U492" s="72"/>
      <c r="V492" s="72"/>
      <c r="W492" s="72"/>
      <c r="X492" s="72"/>
      <c r="Y492" s="72"/>
      <c r="Z492" s="72"/>
      <c r="AA492" s="72"/>
      <c r="AB492" s="72"/>
      <c r="AC492" s="72"/>
      <c r="AD492" s="72"/>
      <c r="AE492" s="72"/>
      <c r="AF492" s="72"/>
      <c r="AG492" s="72"/>
      <c r="AH492" s="73">
        <v>1126.0999999999992</v>
      </c>
      <c r="AI492" s="72">
        <v>0.41823596483438408</v>
      </c>
      <c r="AJ492" s="72">
        <v>3.6000000000000004E-2</v>
      </c>
      <c r="AK492" s="91">
        <f t="shared" ref="AK492:AK493" si="35">$AH492*AI492</f>
        <v>470.97551999999956</v>
      </c>
      <c r="AL492" s="91">
        <f t="shared" ref="AL492:AL493" si="36">$AH492*AJ492</f>
        <v>40.539599999999979</v>
      </c>
    </row>
    <row r="493" spans="1:40">
      <c r="A493" s="65">
        <v>492</v>
      </c>
      <c r="B493" s="136">
        <v>2021</v>
      </c>
      <c r="C493" s="115" t="s">
        <v>135</v>
      </c>
      <c r="D493" s="116" t="s">
        <v>105</v>
      </c>
      <c r="E493" s="117" t="s">
        <v>23</v>
      </c>
      <c r="F493" s="117" t="s">
        <v>27</v>
      </c>
      <c r="G493" s="133" t="s">
        <v>45</v>
      </c>
      <c r="H493" s="68">
        <v>44539</v>
      </c>
      <c r="I493" s="68">
        <v>44544</v>
      </c>
      <c r="J493" s="132">
        <v>5</v>
      </c>
      <c r="K493" s="70">
        <v>1.32</v>
      </c>
      <c r="L493" s="71">
        <f>140/(2.61+1.32)*K493</f>
        <v>47.022900763358784</v>
      </c>
      <c r="M493" s="86" t="s">
        <v>191</v>
      </c>
      <c r="N493" s="71">
        <f>L493/K493</f>
        <v>35.623409669211199</v>
      </c>
      <c r="O493" s="48" t="s">
        <v>64</v>
      </c>
      <c r="P493" s="72"/>
      <c r="Q493" s="72"/>
      <c r="R493" s="72"/>
      <c r="S493" s="72"/>
      <c r="T493" s="72"/>
      <c r="U493" s="72"/>
      <c r="V493" s="72"/>
      <c r="W493" s="72"/>
      <c r="X493" s="72"/>
      <c r="Y493" s="72"/>
      <c r="Z493" s="72"/>
      <c r="AA493" s="72"/>
      <c r="AB493" s="72"/>
      <c r="AC493" s="72"/>
      <c r="AD493" s="72"/>
      <c r="AE493" s="72"/>
      <c r="AF493" s="72"/>
      <c r="AG493" s="72"/>
      <c r="AH493" s="73">
        <v>528.62</v>
      </c>
      <c r="AI493" s="72">
        <v>0.43770168362907191</v>
      </c>
      <c r="AJ493" s="72">
        <v>3.27E-2</v>
      </c>
      <c r="AK493" s="91">
        <f t="shared" si="35"/>
        <v>231.37786399999999</v>
      </c>
      <c r="AL493" s="91">
        <f t="shared" si="36"/>
        <v>17.285874</v>
      </c>
    </row>
    <row r="494" spans="1:40">
      <c r="A494" s="65">
        <v>493</v>
      </c>
      <c r="B494" s="136">
        <v>2021</v>
      </c>
      <c r="C494" s="118" t="s">
        <v>136</v>
      </c>
      <c r="D494" s="116" t="s">
        <v>105</v>
      </c>
      <c r="E494" s="112" t="s">
        <v>15</v>
      </c>
      <c r="F494" s="117" t="s">
        <v>35</v>
      </c>
      <c r="G494" s="134" t="s">
        <v>46</v>
      </c>
      <c r="H494" s="68">
        <v>44250</v>
      </c>
      <c r="I494" s="68">
        <v>44250</v>
      </c>
      <c r="J494" s="132"/>
      <c r="K494" s="70">
        <v>2.61</v>
      </c>
      <c r="L494" s="71">
        <f t="shared" ref="L494" si="37">N494*K494</f>
        <v>104.39999999999999</v>
      </c>
      <c r="M494" s="71"/>
      <c r="N494" s="71">
        <v>40</v>
      </c>
      <c r="O494" s="48" t="s">
        <v>5</v>
      </c>
      <c r="P494" s="72">
        <v>66.8</v>
      </c>
      <c r="Q494" s="72">
        <v>40.299999999999997</v>
      </c>
      <c r="R494" s="72"/>
      <c r="S494" s="72">
        <v>374.6</v>
      </c>
      <c r="T494" s="73">
        <v>5.61</v>
      </c>
      <c r="U494" s="72">
        <f>N494*1000*X494/100</f>
        <v>1160</v>
      </c>
      <c r="V494" s="72">
        <f>S494*U494/1000</f>
        <v>434.536</v>
      </c>
      <c r="W494" s="72">
        <f>P494*U494/1000</f>
        <v>77.488</v>
      </c>
      <c r="X494" s="72">
        <v>2.9</v>
      </c>
      <c r="Y494" s="72"/>
      <c r="Z494" s="73">
        <v>30.42</v>
      </c>
      <c r="AA494" s="73">
        <v>74.48</v>
      </c>
      <c r="AB494" s="73">
        <v>8.1300000000000008</v>
      </c>
      <c r="AC494" s="72"/>
      <c r="AD494" s="72"/>
      <c r="AE494" s="72"/>
      <c r="AF494" s="72"/>
      <c r="AG494" s="72"/>
      <c r="AH494" s="74"/>
      <c r="AI494" s="72"/>
      <c r="AJ494" s="72"/>
      <c r="AK494" s="91"/>
      <c r="AL494" s="72"/>
    </row>
    <row r="495" spans="1:40">
      <c r="A495" s="65">
        <v>494</v>
      </c>
      <c r="B495" s="136">
        <v>2021</v>
      </c>
      <c r="C495" s="118" t="s">
        <v>136</v>
      </c>
      <c r="D495" s="116" t="s">
        <v>105</v>
      </c>
      <c r="E495" s="112" t="s">
        <v>23</v>
      </c>
      <c r="F495" s="117" t="s">
        <v>33</v>
      </c>
      <c r="G495" s="134" t="s">
        <v>34</v>
      </c>
      <c r="H495" s="68">
        <v>44319</v>
      </c>
      <c r="I495" s="68">
        <v>44319</v>
      </c>
      <c r="J495" s="132">
        <v>1</v>
      </c>
      <c r="K495" s="70">
        <v>2.61</v>
      </c>
      <c r="L495" s="71"/>
      <c r="M495" s="71"/>
      <c r="N495" s="71">
        <v>30</v>
      </c>
      <c r="O495" s="48" t="s">
        <v>80</v>
      </c>
      <c r="P495" s="72"/>
      <c r="Q495" s="72"/>
      <c r="R495" s="72"/>
      <c r="S495" s="72"/>
      <c r="T495" s="72"/>
      <c r="U495" s="72"/>
      <c r="V495" s="72"/>
      <c r="W495" s="72"/>
      <c r="X495" s="72">
        <v>37</v>
      </c>
      <c r="Y495" s="72"/>
      <c r="Z495" s="72"/>
      <c r="AA495" s="72"/>
      <c r="AB495" s="72"/>
      <c r="AC495" s="72"/>
      <c r="AD495" s="72"/>
      <c r="AE495" s="72"/>
      <c r="AF495" s="72"/>
      <c r="AG495" s="72"/>
      <c r="AH495" s="73">
        <v>2451.6999999999998</v>
      </c>
      <c r="AI495" s="72">
        <v>0.44578736124770652</v>
      </c>
      <c r="AJ495" s="72">
        <v>2.023340822149447E-2</v>
      </c>
      <c r="AK495" s="91">
        <f>$AH495*AI495</f>
        <v>1092.936873571002</v>
      </c>
      <c r="AL495" s="91">
        <f>$AH495*AJ495</f>
        <v>49.606246936637987</v>
      </c>
    </row>
    <row r="496" spans="1:40">
      <c r="A496" s="65">
        <v>495</v>
      </c>
      <c r="B496" s="136">
        <v>2021</v>
      </c>
      <c r="C496" s="118" t="s">
        <v>136</v>
      </c>
      <c r="D496" s="116" t="s">
        <v>105</v>
      </c>
      <c r="E496" s="112" t="s">
        <v>15</v>
      </c>
      <c r="F496" s="117" t="s">
        <v>35</v>
      </c>
      <c r="G496" s="134" t="s">
        <v>46</v>
      </c>
      <c r="H496" s="68">
        <v>44323</v>
      </c>
      <c r="I496" s="68">
        <v>44323</v>
      </c>
      <c r="J496" s="132"/>
      <c r="K496" s="70">
        <v>2.61</v>
      </c>
      <c r="L496" s="71">
        <f t="shared" ref="L496" si="38">N496*K496</f>
        <v>111.90635999999999</v>
      </c>
      <c r="M496" s="71"/>
      <c r="N496" s="71">
        <v>42.875999999999998</v>
      </c>
      <c r="O496" s="48" t="s">
        <v>5</v>
      </c>
      <c r="P496" s="72">
        <v>78.3</v>
      </c>
      <c r="Q496" s="72">
        <v>46.9</v>
      </c>
      <c r="R496" s="72"/>
      <c r="S496" s="72">
        <v>214.6</v>
      </c>
      <c r="T496" s="73">
        <v>2.74</v>
      </c>
      <c r="U496" s="72">
        <f>N496*1000*X496/100</f>
        <v>643.14</v>
      </c>
      <c r="V496" s="72">
        <f>S496*U496/1000</f>
        <v>138.017844</v>
      </c>
      <c r="W496" s="72">
        <f>P496*U496/1000</f>
        <v>50.357861999999997</v>
      </c>
      <c r="X496" s="72">
        <v>1.5</v>
      </c>
      <c r="Y496" s="72"/>
      <c r="Z496" s="73">
        <v>22.29</v>
      </c>
      <c r="AA496" s="73">
        <v>159.97</v>
      </c>
      <c r="AB496" s="73">
        <v>5.0599999999999996</v>
      </c>
      <c r="AC496" s="72"/>
      <c r="AD496" s="72"/>
      <c r="AE496" s="72"/>
      <c r="AF496" s="72"/>
      <c r="AG496" s="72"/>
      <c r="AH496" s="74"/>
      <c r="AI496" s="72"/>
      <c r="AJ496" s="72"/>
      <c r="AK496" s="91"/>
      <c r="AL496" s="72"/>
    </row>
    <row r="497" spans="1:40">
      <c r="A497" s="65">
        <v>496</v>
      </c>
      <c r="B497" s="136">
        <v>2021</v>
      </c>
      <c r="C497" s="118" t="s">
        <v>136</v>
      </c>
      <c r="D497" s="116" t="s">
        <v>105</v>
      </c>
      <c r="E497" s="112" t="s">
        <v>23</v>
      </c>
      <c r="F497" s="117" t="s">
        <v>33</v>
      </c>
      <c r="G497" s="134"/>
      <c r="H497" s="68">
        <v>44359</v>
      </c>
      <c r="I497" s="68">
        <v>44359</v>
      </c>
      <c r="J497" s="132">
        <v>2</v>
      </c>
      <c r="K497" s="70">
        <v>2.61</v>
      </c>
      <c r="L497" s="71"/>
      <c r="M497" s="71"/>
      <c r="N497" s="71">
        <v>25</v>
      </c>
      <c r="O497" s="48" t="s">
        <v>80</v>
      </c>
      <c r="P497" s="72"/>
      <c r="Q497" s="72"/>
      <c r="R497" s="72"/>
      <c r="S497" s="72"/>
      <c r="T497" s="72"/>
      <c r="U497" s="72"/>
      <c r="V497" s="72"/>
      <c r="W497" s="72"/>
      <c r="X497" s="72"/>
      <c r="Y497" s="72"/>
      <c r="Z497" s="72"/>
      <c r="AA497" s="72"/>
      <c r="AB497" s="72"/>
      <c r="AC497" s="72"/>
      <c r="AD497" s="72"/>
      <c r="AE497" s="72"/>
      <c r="AF497" s="72"/>
      <c r="AG497" s="72"/>
      <c r="AH497" s="73">
        <v>2816.9</v>
      </c>
      <c r="AI497" s="72">
        <v>0.43693162195530405</v>
      </c>
      <c r="AJ497" s="72">
        <v>2.0070407185203597E-2</v>
      </c>
      <c r="AK497" s="91">
        <f>$AH497*AI497</f>
        <v>1230.7926858858959</v>
      </c>
      <c r="AL497" s="91">
        <f>$AH497*AJ497</f>
        <v>56.536330000000014</v>
      </c>
    </row>
    <row r="498" spans="1:40">
      <c r="A498" s="65">
        <v>497</v>
      </c>
      <c r="B498" s="136">
        <v>2021</v>
      </c>
      <c r="C498" s="118" t="s">
        <v>136</v>
      </c>
      <c r="D498" s="116" t="s">
        <v>105</v>
      </c>
      <c r="E498" s="112" t="s">
        <v>15</v>
      </c>
      <c r="F498" s="117" t="s">
        <v>35</v>
      </c>
      <c r="G498" s="134" t="s">
        <v>46</v>
      </c>
      <c r="H498" s="68">
        <v>44365</v>
      </c>
      <c r="I498" s="68">
        <v>44365</v>
      </c>
      <c r="J498" s="132"/>
      <c r="K498" s="70">
        <v>2.61</v>
      </c>
      <c r="L498" s="71">
        <f t="shared" ref="L498" si="39">N498*K498</f>
        <v>73.08</v>
      </c>
      <c r="M498" s="71"/>
      <c r="N498" s="71">
        <v>28</v>
      </c>
      <c r="O498" s="48" t="s">
        <v>5</v>
      </c>
      <c r="P498" s="72">
        <v>145</v>
      </c>
      <c r="Q498" s="72">
        <v>100</v>
      </c>
      <c r="R498" s="72"/>
      <c r="S498" s="72">
        <v>293.8</v>
      </c>
      <c r="T498" s="73">
        <v>2.0299999999999998</v>
      </c>
      <c r="U498" s="72">
        <f>N498*1000*X498/100</f>
        <v>364</v>
      </c>
      <c r="V498" s="72">
        <f>S498*U498/1000</f>
        <v>106.94319999999999</v>
      </c>
      <c r="W498" s="72">
        <f>P498*U498/1000</f>
        <v>52.78</v>
      </c>
      <c r="X498" s="72">
        <v>1.3</v>
      </c>
      <c r="Y498" s="72"/>
      <c r="Z498" s="73">
        <v>17.46</v>
      </c>
      <c r="AA498" s="73">
        <v>214.74</v>
      </c>
      <c r="AB498" s="73">
        <v>5.12</v>
      </c>
      <c r="AC498" s="72"/>
      <c r="AD498" s="72"/>
      <c r="AE498" s="72"/>
      <c r="AF498" s="72"/>
      <c r="AG498" s="72"/>
      <c r="AH498" s="74"/>
      <c r="AI498" s="72"/>
      <c r="AJ498" s="72"/>
      <c r="AK498" s="91"/>
      <c r="AL498" s="72"/>
    </row>
    <row r="499" spans="1:40">
      <c r="A499" s="65">
        <v>498</v>
      </c>
      <c r="B499" s="136">
        <v>2021</v>
      </c>
      <c r="C499" s="118" t="s">
        <v>136</v>
      </c>
      <c r="D499" s="116" t="s">
        <v>105</v>
      </c>
      <c r="E499" s="112" t="s">
        <v>23</v>
      </c>
      <c r="F499" s="117" t="s">
        <v>33</v>
      </c>
      <c r="G499" s="134"/>
      <c r="H499" s="68">
        <v>44398</v>
      </c>
      <c r="I499" s="68">
        <v>44398</v>
      </c>
      <c r="J499" s="132">
        <v>3</v>
      </c>
      <c r="K499" s="70">
        <v>2.61</v>
      </c>
      <c r="L499" s="71"/>
      <c r="M499" s="71"/>
      <c r="N499" s="48">
        <v>9.57</v>
      </c>
      <c r="O499" s="48" t="s">
        <v>80</v>
      </c>
      <c r="P499" s="72"/>
      <c r="Q499" s="72"/>
      <c r="R499" s="72"/>
      <c r="S499" s="72"/>
      <c r="T499" s="72"/>
      <c r="U499" s="72"/>
      <c r="V499" s="72"/>
      <c r="W499" s="72"/>
      <c r="X499" s="72"/>
      <c r="Y499" s="72"/>
      <c r="Z499" s="72"/>
      <c r="AA499" s="72"/>
      <c r="AB499" s="72"/>
      <c r="AC499" s="72"/>
      <c r="AD499" s="72"/>
      <c r="AE499" s="72"/>
      <c r="AF499" s="72"/>
      <c r="AG499" s="72"/>
      <c r="AH499" s="73">
        <v>2547.8000000000002</v>
      </c>
      <c r="AI499" s="72">
        <v>0.44124763790178095</v>
      </c>
      <c r="AJ499" s="72">
        <v>2.0513015150325775E-2</v>
      </c>
      <c r="AK499" s="91">
        <f>$AH499*AI499</f>
        <v>1124.2107318461576</v>
      </c>
      <c r="AL499" s="91">
        <f>$AH499*AJ499</f>
        <v>52.263060000000017</v>
      </c>
    </row>
    <row r="500" spans="1:40">
      <c r="A500" s="65">
        <v>499</v>
      </c>
      <c r="B500" s="136">
        <v>2021</v>
      </c>
      <c r="C500" s="118" t="s">
        <v>136</v>
      </c>
      <c r="D500" s="116" t="s">
        <v>105</v>
      </c>
      <c r="E500" s="112" t="s">
        <v>15</v>
      </c>
      <c r="F500" s="117" t="s">
        <v>35</v>
      </c>
      <c r="G500" s="134" t="s">
        <v>46</v>
      </c>
      <c r="H500" s="68">
        <v>44406</v>
      </c>
      <c r="I500" s="68">
        <v>44406</v>
      </c>
      <c r="J500" s="132"/>
      <c r="K500" s="70">
        <v>2.61</v>
      </c>
      <c r="L500" s="71">
        <f>N500*K500</f>
        <v>73.08</v>
      </c>
      <c r="M500" s="71"/>
      <c r="N500" s="71">
        <v>28</v>
      </c>
      <c r="O500" s="48" t="s">
        <v>5</v>
      </c>
      <c r="P500" s="72">
        <v>62.5</v>
      </c>
      <c r="Q500" s="72">
        <v>28.4</v>
      </c>
      <c r="R500" s="72"/>
      <c r="S500" s="72">
        <v>410.2</v>
      </c>
      <c r="T500" s="73">
        <v>6.56</v>
      </c>
      <c r="U500" s="72">
        <f>N500*1000*X500/100</f>
        <v>280</v>
      </c>
      <c r="V500" s="72">
        <f>S500*U500/1000</f>
        <v>114.85599999999999</v>
      </c>
      <c r="W500" s="72">
        <f>P500*U500/1000</f>
        <v>17.5</v>
      </c>
      <c r="X500" s="72">
        <v>1</v>
      </c>
      <c r="Y500" s="72"/>
      <c r="Z500" s="73">
        <v>17.79</v>
      </c>
      <c r="AA500" s="73">
        <v>46.78</v>
      </c>
      <c r="AB500" s="73">
        <v>7.52</v>
      </c>
      <c r="AC500" s="72"/>
      <c r="AD500" s="72"/>
      <c r="AE500" s="72"/>
      <c r="AF500" s="72"/>
      <c r="AG500" s="72"/>
      <c r="AH500" s="72"/>
      <c r="AI500" s="72"/>
      <c r="AJ500" s="72"/>
      <c r="AK500" s="91"/>
      <c r="AL500" s="72"/>
    </row>
    <row r="501" spans="1:40">
      <c r="A501" s="65">
        <v>500</v>
      </c>
      <c r="B501" s="136">
        <v>2021</v>
      </c>
      <c r="C501" s="118" t="s">
        <v>136</v>
      </c>
      <c r="D501" s="116" t="s">
        <v>105</v>
      </c>
      <c r="E501" s="112" t="s">
        <v>24</v>
      </c>
      <c r="F501" s="117" t="s">
        <v>31</v>
      </c>
      <c r="G501" s="133" t="s">
        <v>184</v>
      </c>
      <c r="H501" s="68">
        <v>44421</v>
      </c>
      <c r="I501" s="68">
        <v>44421</v>
      </c>
      <c r="J501" s="132"/>
      <c r="K501" s="70">
        <v>2.61</v>
      </c>
      <c r="L501" s="71">
        <f>N501*K501</f>
        <v>6.6293999999999995</v>
      </c>
      <c r="M501" s="71"/>
      <c r="N501" s="71">
        <v>2.54</v>
      </c>
      <c r="O501" s="48" t="s">
        <v>6</v>
      </c>
      <c r="P501" s="72"/>
      <c r="Q501" s="72"/>
      <c r="R501" s="72"/>
      <c r="S501" s="72"/>
      <c r="T501" s="72"/>
      <c r="U501" s="72"/>
      <c r="V501" s="72"/>
      <c r="W501" s="72"/>
      <c r="X501" s="72"/>
      <c r="Y501" s="72"/>
      <c r="Z501" s="72"/>
      <c r="AA501" s="72"/>
      <c r="AB501" s="72"/>
      <c r="AC501" s="72"/>
      <c r="AD501" s="72"/>
      <c r="AE501" s="72"/>
      <c r="AF501" s="72"/>
      <c r="AG501" s="72"/>
      <c r="AH501" s="74"/>
      <c r="AI501" s="72"/>
      <c r="AJ501" s="72"/>
      <c r="AK501" s="72"/>
      <c r="AL501" s="72"/>
    </row>
    <row r="502" spans="1:40">
      <c r="A502" s="65">
        <v>501</v>
      </c>
      <c r="B502" s="136">
        <v>2021</v>
      </c>
      <c r="C502" s="118" t="s">
        <v>136</v>
      </c>
      <c r="D502" s="116" t="s">
        <v>105</v>
      </c>
      <c r="E502" s="112" t="s">
        <v>22</v>
      </c>
      <c r="F502" s="117" t="s">
        <v>186</v>
      </c>
      <c r="G502" s="133" t="s">
        <v>189</v>
      </c>
      <c r="H502" s="68">
        <v>44428</v>
      </c>
      <c r="I502" s="68">
        <v>44428</v>
      </c>
      <c r="J502" s="132"/>
      <c r="K502" s="70">
        <v>2.61</v>
      </c>
      <c r="L502" s="71"/>
      <c r="M502" s="71"/>
      <c r="N502" s="71"/>
      <c r="P502" s="72"/>
      <c r="Q502" s="72"/>
      <c r="R502" s="72"/>
      <c r="S502" s="72"/>
      <c r="T502" s="72"/>
      <c r="U502" s="72"/>
      <c r="V502" s="72"/>
      <c r="W502" s="72"/>
      <c r="X502" s="72"/>
      <c r="Y502" s="72"/>
      <c r="Z502" s="72"/>
      <c r="AA502" s="72"/>
      <c r="AB502" s="72"/>
      <c r="AC502" s="72"/>
      <c r="AD502" s="72"/>
      <c r="AE502" s="72"/>
      <c r="AF502" s="72"/>
      <c r="AG502" s="72"/>
      <c r="AH502" s="74"/>
      <c r="AI502" s="72"/>
      <c r="AJ502" s="72"/>
      <c r="AK502" s="72"/>
      <c r="AL502" s="72"/>
    </row>
    <row r="503" spans="1:40">
      <c r="A503" s="65">
        <v>502</v>
      </c>
      <c r="B503" s="136">
        <v>2021</v>
      </c>
      <c r="C503" s="118" t="s">
        <v>136</v>
      </c>
      <c r="D503" s="116" t="s">
        <v>105</v>
      </c>
      <c r="E503" s="117" t="s">
        <v>21</v>
      </c>
      <c r="F503" s="117" t="s">
        <v>39</v>
      </c>
      <c r="G503" s="133" t="s">
        <v>188</v>
      </c>
      <c r="H503" s="68">
        <v>44428</v>
      </c>
      <c r="I503" s="68">
        <v>44428</v>
      </c>
      <c r="J503" s="132"/>
      <c r="K503" s="70">
        <v>2.61</v>
      </c>
      <c r="L503" s="71">
        <f>N503*K503</f>
        <v>91.35</v>
      </c>
      <c r="M503" s="71" t="s">
        <v>194</v>
      </c>
      <c r="N503" s="71">
        <v>35</v>
      </c>
      <c r="O503" s="48" t="s">
        <v>3</v>
      </c>
      <c r="P503" s="72"/>
      <c r="Q503" s="72"/>
      <c r="R503" s="72"/>
      <c r="S503" s="72"/>
      <c r="T503" s="72"/>
      <c r="U503" s="72"/>
      <c r="V503" s="72"/>
      <c r="W503" s="72"/>
      <c r="X503" s="72"/>
      <c r="Y503" s="72"/>
      <c r="Z503" s="72"/>
      <c r="AA503" s="72"/>
      <c r="AB503" s="72"/>
      <c r="AC503" s="72"/>
      <c r="AD503" s="72"/>
      <c r="AE503" s="72"/>
      <c r="AF503" s="72"/>
      <c r="AG503" s="72"/>
      <c r="AH503" s="74"/>
      <c r="AI503" s="72"/>
      <c r="AJ503" s="72"/>
      <c r="AK503" s="72"/>
      <c r="AL503" s="72"/>
    </row>
    <row r="504" spans="1:40">
      <c r="A504" s="65">
        <v>503</v>
      </c>
      <c r="B504" s="136">
        <v>2021</v>
      </c>
      <c r="C504" s="118" t="s">
        <v>136</v>
      </c>
      <c r="D504" s="116" t="s">
        <v>105</v>
      </c>
      <c r="E504" s="117" t="s">
        <v>23</v>
      </c>
      <c r="F504" s="117" t="s">
        <v>33</v>
      </c>
      <c r="G504" s="134" t="s">
        <v>34</v>
      </c>
      <c r="H504" s="68">
        <v>44483</v>
      </c>
      <c r="I504" s="68">
        <v>44483</v>
      </c>
      <c r="J504" s="132">
        <v>4</v>
      </c>
      <c r="K504" s="70">
        <v>2.61</v>
      </c>
      <c r="L504" s="71"/>
      <c r="M504" s="71"/>
      <c r="N504" s="48">
        <v>5.75</v>
      </c>
      <c r="O504" s="48" t="s">
        <v>80</v>
      </c>
      <c r="P504" s="72"/>
      <c r="Q504" s="72"/>
      <c r="R504" s="72"/>
      <c r="S504" s="72"/>
      <c r="T504" s="72"/>
      <c r="U504" s="72"/>
      <c r="V504" s="72"/>
      <c r="W504" s="72"/>
      <c r="X504" s="72"/>
      <c r="Y504" s="72"/>
      <c r="Z504" s="72"/>
      <c r="AA504" s="72"/>
      <c r="AB504" s="72"/>
      <c r="AC504" s="72"/>
      <c r="AD504" s="72"/>
      <c r="AE504" s="72"/>
      <c r="AF504" s="72"/>
      <c r="AG504" s="72"/>
      <c r="AH504" s="73">
        <v>681.20000000000027</v>
      </c>
      <c r="AI504" s="72">
        <v>0.42432163828537867</v>
      </c>
      <c r="AJ504" s="72">
        <v>3.5084879624192593E-2</v>
      </c>
      <c r="AK504" s="91">
        <f t="shared" ref="AK504:AK505" si="40">$AH504*AI504</f>
        <v>289.04790000000008</v>
      </c>
      <c r="AL504" s="91">
        <f t="shared" ref="AL504:AL505" si="41">$AH504*AJ504</f>
        <v>23.899820000000005</v>
      </c>
    </row>
    <row r="505" spans="1:40">
      <c r="A505" s="65">
        <v>504</v>
      </c>
      <c r="B505" s="136">
        <v>2021</v>
      </c>
      <c r="C505" s="118" t="s">
        <v>136</v>
      </c>
      <c r="D505" s="116" t="s">
        <v>105</v>
      </c>
      <c r="E505" s="117" t="s">
        <v>23</v>
      </c>
      <c r="F505" s="117" t="s">
        <v>27</v>
      </c>
      <c r="G505" s="134" t="s">
        <v>45</v>
      </c>
      <c r="H505" s="68">
        <v>44539</v>
      </c>
      <c r="I505" s="68">
        <v>44544</v>
      </c>
      <c r="J505" s="132">
        <v>5</v>
      </c>
      <c r="K505" s="70">
        <f>2.61</f>
        <v>2.61</v>
      </c>
      <c r="L505" s="71">
        <f>140/(2.61+1.32)*K505</f>
        <v>92.977099236641223</v>
      </c>
      <c r="M505" s="86" t="s">
        <v>191</v>
      </c>
      <c r="N505" s="71">
        <f>L505/K505</f>
        <v>35.623409669211199</v>
      </c>
      <c r="O505" s="48" t="s">
        <v>64</v>
      </c>
      <c r="P505" s="72"/>
      <c r="Q505" s="72"/>
      <c r="R505" s="72"/>
      <c r="S505" s="72"/>
      <c r="T505" s="72"/>
      <c r="U505" s="72"/>
      <c r="V505" s="72"/>
      <c r="W505" s="72"/>
      <c r="X505" s="72"/>
      <c r="Y505" s="72"/>
      <c r="Z505" s="72"/>
      <c r="AA505" s="72"/>
      <c r="AB505" s="72"/>
      <c r="AC505" s="72"/>
      <c r="AD505" s="72"/>
      <c r="AE505" s="72"/>
      <c r="AF505" s="72"/>
      <c r="AG505" s="72"/>
      <c r="AH505" s="73">
        <v>512.70000000000005</v>
      </c>
      <c r="AI505" s="72">
        <v>0.43259906377998825</v>
      </c>
      <c r="AJ505" s="72">
        <v>2.998022235225278E-2</v>
      </c>
      <c r="AK505" s="91">
        <f t="shared" si="40"/>
        <v>221.79354000000001</v>
      </c>
      <c r="AL505" s="91">
        <f t="shared" si="41"/>
        <v>15.370860000000002</v>
      </c>
    </row>
    <row r="506" spans="1:40">
      <c r="A506" s="137">
        <v>505</v>
      </c>
      <c r="B506" s="138">
        <v>2022</v>
      </c>
      <c r="C506" s="115" t="s">
        <v>135</v>
      </c>
      <c r="D506" s="116" t="s">
        <v>105</v>
      </c>
      <c r="E506" s="112" t="s">
        <v>15</v>
      </c>
      <c r="F506" s="117" t="s">
        <v>35</v>
      </c>
      <c r="G506" s="134" t="s">
        <v>46</v>
      </c>
      <c r="H506" s="139">
        <v>44634</v>
      </c>
      <c r="I506" s="139">
        <v>44634</v>
      </c>
      <c r="J506" s="129"/>
      <c r="K506" s="70">
        <v>1.32</v>
      </c>
      <c r="L506" s="71">
        <f>N506*K506</f>
        <v>40.524000000000001</v>
      </c>
      <c r="M506" s="71"/>
      <c r="N506" s="71">
        <v>30.7</v>
      </c>
      <c r="O506" s="48" t="s">
        <v>5</v>
      </c>
      <c r="P506" s="72">
        <v>59.8</v>
      </c>
      <c r="Q506" s="72">
        <v>32</v>
      </c>
      <c r="R506" s="72"/>
      <c r="S506" s="72">
        <v>373.8</v>
      </c>
      <c r="T506" s="73">
        <v>6.25</v>
      </c>
      <c r="U506" s="72">
        <f>N506*1000*X506/100</f>
        <v>1381.5</v>
      </c>
      <c r="V506" s="72">
        <f>S506*U506/1000</f>
        <v>516.40470000000005</v>
      </c>
      <c r="W506" s="72">
        <f>P506*U506/1000</f>
        <v>82.613699999999994</v>
      </c>
      <c r="X506" s="72">
        <v>4.5</v>
      </c>
      <c r="Y506" s="72"/>
      <c r="Z506" s="73">
        <v>34.35</v>
      </c>
      <c r="AA506" s="73">
        <v>49.15</v>
      </c>
      <c r="AB506" s="73">
        <v>9.08</v>
      </c>
      <c r="AC506" s="72"/>
      <c r="AD506" s="72"/>
      <c r="AE506" s="72"/>
      <c r="AF506" s="72"/>
      <c r="AG506" s="72"/>
      <c r="AH506" s="74"/>
      <c r="AI506" s="72"/>
      <c r="AJ506" s="72"/>
      <c r="AK506" s="91"/>
      <c r="AL506" s="91"/>
      <c r="AM506" s="91"/>
      <c r="AN506" s="91"/>
    </row>
    <row r="507" spans="1:40">
      <c r="A507" s="137">
        <v>506</v>
      </c>
      <c r="B507" s="138">
        <v>2022</v>
      </c>
      <c r="C507" s="115" t="s">
        <v>135</v>
      </c>
      <c r="D507" s="116" t="s">
        <v>105</v>
      </c>
      <c r="E507" s="112" t="s">
        <v>23</v>
      </c>
      <c r="F507" s="117" t="s">
        <v>33</v>
      </c>
      <c r="G507" s="134"/>
      <c r="H507" s="139">
        <v>44691</v>
      </c>
      <c r="I507" s="139">
        <v>44691</v>
      </c>
      <c r="J507" s="129">
        <v>1</v>
      </c>
      <c r="K507" s="70">
        <v>1.32</v>
      </c>
      <c r="L507" s="71"/>
      <c r="M507" s="71"/>
      <c r="N507" s="71"/>
      <c r="P507" s="72"/>
      <c r="Q507" s="72"/>
      <c r="R507" s="72"/>
      <c r="S507" s="72"/>
      <c r="T507" s="72"/>
      <c r="U507" s="72"/>
      <c r="V507" s="72"/>
      <c r="W507" s="72"/>
      <c r="X507" s="72"/>
      <c r="Y507" s="72"/>
      <c r="Z507" s="72"/>
      <c r="AA507" s="72"/>
      <c r="AB507" s="72"/>
      <c r="AC507" s="72"/>
      <c r="AD507" s="72"/>
      <c r="AE507" s="72"/>
      <c r="AF507" s="72"/>
      <c r="AG507" s="72"/>
      <c r="AH507" s="73">
        <v>5264.5</v>
      </c>
      <c r="AI507" s="72">
        <v>0.43245344857061446</v>
      </c>
      <c r="AJ507" s="72">
        <v>2.3200000000000002E-2</v>
      </c>
      <c r="AK507" s="91">
        <f>$AH507*AI507</f>
        <v>2276.6511799999998</v>
      </c>
      <c r="AL507" s="91">
        <f>$AH507*AJ507</f>
        <v>122.13640000000001</v>
      </c>
      <c r="AM507" s="91"/>
      <c r="AN507" s="91"/>
    </row>
    <row r="508" spans="1:40">
      <c r="A508" s="137">
        <v>507</v>
      </c>
      <c r="B508" s="138">
        <v>2022</v>
      </c>
      <c r="C508" s="115" t="s">
        <v>135</v>
      </c>
      <c r="D508" s="116" t="s">
        <v>105</v>
      </c>
      <c r="E508" s="112" t="s">
        <v>15</v>
      </c>
      <c r="F508" s="117" t="s">
        <v>35</v>
      </c>
      <c r="G508" s="134" t="s">
        <v>46</v>
      </c>
      <c r="H508" s="139">
        <v>44704</v>
      </c>
      <c r="I508" s="139">
        <v>44704</v>
      </c>
      <c r="J508" s="129"/>
      <c r="K508" s="70">
        <v>1.32</v>
      </c>
      <c r="L508" s="71">
        <f>N508*K508</f>
        <v>33.923999999999999</v>
      </c>
      <c r="M508" s="71"/>
      <c r="N508" s="71">
        <v>25.7</v>
      </c>
      <c r="O508" s="48" t="s">
        <v>5</v>
      </c>
      <c r="P508" s="72">
        <v>76.2</v>
      </c>
      <c r="Q508" s="72">
        <v>46.5</v>
      </c>
      <c r="R508" s="72"/>
      <c r="S508" s="72">
        <v>374.9</v>
      </c>
      <c r="T508" s="73">
        <v>4.92</v>
      </c>
      <c r="U508" s="72">
        <f>N508*1000*X508/100</f>
        <v>745.3</v>
      </c>
      <c r="V508" s="72">
        <f>S508*U508/1000</f>
        <v>279.41296999999997</v>
      </c>
      <c r="W508" s="72">
        <f>P508*U508/1000</f>
        <v>56.79186</v>
      </c>
      <c r="X508" s="72">
        <v>2.9</v>
      </c>
      <c r="Y508" s="72"/>
      <c r="Z508" s="73">
        <v>32.590000000000003</v>
      </c>
      <c r="AA508" s="73">
        <v>79.69</v>
      </c>
      <c r="AB508" s="73">
        <v>7.53</v>
      </c>
      <c r="AC508" s="72"/>
      <c r="AD508" s="72"/>
      <c r="AE508" s="72"/>
      <c r="AF508" s="72"/>
      <c r="AG508" s="72"/>
      <c r="AH508" s="74"/>
      <c r="AI508" s="72"/>
      <c r="AJ508" s="72"/>
      <c r="AK508" s="91"/>
      <c r="AL508" s="72"/>
    </row>
    <row r="509" spans="1:40">
      <c r="A509" s="137">
        <v>508</v>
      </c>
      <c r="B509" s="138">
        <v>2022</v>
      </c>
      <c r="C509" s="115" t="s">
        <v>135</v>
      </c>
      <c r="D509" s="116" t="s">
        <v>105</v>
      </c>
      <c r="E509" s="112" t="s">
        <v>23</v>
      </c>
      <c r="F509" s="117" t="s">
        <v>33</v>
      </c>
      <c r="G509" s="134"/>
      <c r="H509" s="139">
        <v>44722</v>
      </c>
      <c r="I509" s="139">
        <v>44722</v>
      </c>
      <c r="J509" s="129">
        <v>2</v>
      </c>
      <c r="K509" s="70">
        <v>1.32</v>
      </c>
      <c r="L509" s="71"/>
      <c r="M509" s="71"/>
      <c r="N509" s="71"/>
      <c r="P509" s="72"/>
      <c r="Q509" s="72"/>
      <c r="R509" s="72"/>
      <c r="S509" s="72"/>
      <c r="T509" s="72"/>
      <c r="U509" s="72"/>
      <c r="V509" s="72"/>
      <c r="W509" s="72"/>
      <c r="X509" s="72"/>
      <c r="Y509" s="72"/>
      <c r="Z509" s="72"/>
      <c r="AA509" s="72"/>
      <c r="AB509" s="72"/>
      <c r="AC509" s="72"/>
      <c r="AD509" s="72"/>
      <c r="AE509" s="72"/>
      <c r="AF509" s="72"/>
      <c r="AG509" s="72"/>
      <c r="AI509" s="72"/>
      <c r="AJ509" s="72"/>
      <c r="AK509" s="91"/>
      <c r="AL509" s="91"/>
    </row>
    <row r="510" spans="1:40">
      <c r="A510" s="137">
        <v>509</v>
      </c>
      <c r="B510" s="138">
        <v>2022</v>
      </c>
      <c r="C510" s="115" t="s">
        <v>135</v>
      </c>
      <c r="D510" s="116" t="s">
        <v>105</v>
      </c>
      <c r="E510" s="112" t="s">
        <v>15</v>
      </c>
      <c r="F510" s="117" t="s">
        <v>35</v>
      </c>
      <c r="G510" s="134" t="s">
        <v>46</v>
      </c>
      <c r="H510" s="139">
        <v>44739</v>
      </c>
      <c r="I510" s="139">
        <v>44739</v>
      </c>
      <c r="J510" s="129"/>
      <c r="K510" s="70">
        <v>1.32</v>
      </c>
      <c r="L510" s="71">
        <f>N510*K510</f>
        <v>43.164000000000009</v>
      </c>
      <c r="M510" s="71"/>
      <c r="N510" s="71">
        <v>32.700000000000003</v>
      </c>
      <c r="O510" s="48" t="s">
        <v>5</v>
      </c>
      <c r="P510" s="72">
        <v>60</v>
      </c>
      <c r="Q510" s="72">
        <v>33.200000000000003</v>
      </c>
      <c r="R510" s="72"/>
      <c r="S510" s="72">
        <v>414.4</v>
      </c>
      <c r="T510" s="73">
        <v>6.9</v>
      </c>
      <c r="U510" s="72">
        <f>N510*1000*X510/100</f>
        <v>1308.0000000000002</v>
      </c>
      <c r="V510" s="72">
        <f>S510*U510/1000</f>
        <v>542.03520000000003</v>
      </c>
      <c r="W510" s="72">
        <f>P510*U510/1000</f>
        <v>78.480000000000018</v>
      </c>
      <c r="X510" s="72">
        <v>4</v>
      </c>
      <c r="Y510" s="72"/>
      <c r="Z510" s="73">
        <v>29.13</v>
      </c>
      <c r="AA510" s="73">
        <v>60.88</v>
      </c>
      <c r="AB510" s="73">
        <v>7.85</v>
      </c>
      <c r="AC510" s="72"/>
      <c r="AD510" s="72"/>
      <c r="AE510" s="72"/>
      <c r="AF510" s="72"/>
      <c r="AG510" s="72"/>
      <c r="AH510" s="74"/>
      <c r="AI510" s="72"/>
      <c r="AJ510" s="72"/>
      <c r="AK510" s="91"/>
      <c r="AL510" s="72"/>
    </row>
    <row r="511" spans="1:40">
      <c r="A511" s="137">
        <v>510</v>
      </c>
      <c r="B511" s="138">
        <v>2022</v>
      </c>
      <c r="C511" s="115" t="s">
        <v>135</v>
      </c>
      <c r="D511" s="116" t="s">
        <v>105</v>
      </c>
      <c r="E511" s="112" t="s">
        <v>23</v>
      </c>
      <c r="F511" s="117" t="s">
        <v>33</v>
      </c>
      <c r="H511" s="139">
        <v>44748</v>
      </c>
      <c r="I511" s="139">
        <v>44748</v>
      </c>
      <c r="J511" s="129">
        <v>3</v>
      </c>
      <c r="K511" s="70">
        <v>1.32</v>
      </c>
      <c r="L511" s="71"/>
      <c r="M511" s="71"/>
      <c r="N511" s="71"/>
      <c r="P511" s="72"/>
      <c r="Q511" s="72"/>
      <c r="R511" s="72"/>
      <c r="S511" s="72"/>
      <c r="T511" s="72"/>
      <c r="U511" s="72"/>
      <c r="V511" s="72"/>
      <c r="W511" s="72"/>
      <c r="X511" s="72"/>
      <c r="Y511" s="72"/>
      <c r="Z511" s="72"/>
      <c r="AA511" s="72"/>
      <c r="AB511" s="72"/>
      <c r="AC511" s="72"/>
      <c r="AD511" s="72"/>
      <c r="AE511" s="72"/>
      <c r="AF511" s="72"/>
      <c r="AG511" s="72"/>
      <c r="AH511" s="73">
        <v>2184.9</v>
      </c>
      <c r="AI511" s="72">
        <v>0.41989643461943343</v>
      </c>
      <c r="AJ511" s="72">
        <v>3.1700000000000006E-2</v>
      </c>
      <c r="AK511" s="91">
        <f>$AH511*AI511</f>
        <v>917.43172000000015</v>
      </c>
      <c r="AL511" s="91">
        <f>$AH511*AJ511</f>
        <v>69.261330000000015</v>
      </c>
    </row>
    <row r="512" spans="1:40">
      <c r="A512" s="137">
        <v>511</v>
      </c>
      <c r="B512" s="138">
        <v>2022</v>
      </c>
      <c r="C512" s="115" t="s">
        <v>135</v>
      </c>
      <c r="D512" s="116" t="s">
        <v>105</v>
      </c>
      <c r="E512" s="112" t="s">
        <v>15</v>
      </c>
      <c r="F512" s="117" t="s">
        <v>35</v>
      </c>
      <c r="G512" s="134" t="s">
        <v>46</v>
      </c>
      <c r="H512" s="139">
        <v>44762</v>
      </c>
      <c r="I512" s="139">
        <v>44762</v>
      </c>
      <c r="J512" s="129"/>
      <c r="K512" s="70">
        <v>1.32</v>
      </c>
      <c r="L512" s="71">
        <f>N512*K512</f>
        <v>38.808</v>
      </c>
      <c r="M512" s="71"/>
      <c r="N512" s="71">
        <v>29.4</v>
      </c>
      <c r="O512" s="48" t="s">
        <v>5</v>
      </c>
      <c r="P512" s="72">
        <v>69.900000000000006</v>
      </c>
      <c r="Q512" s="72">
        <v>46.1</v>
      </c>
      <c r="R512" s="72"/>
      <c r="S512" s="72">
        <v>385.4</v>
      </c>
      <c r="T512" s="73">
        <v>5.51</v>
      </c>
      <c r="U512" s="72">
        <f>N512*1000*X512/100</f>
        <v>617.4</v>
      </c>
      <c r="V512" s="72">
        <f>S512*U512/1000</f>
        <v>237.94595999999996</v>
      </c>
      <c r="W512" s="72">
        <f>P512*U512/1000</f>
        <v>43.156260000000003</v>
      </c>
      <c r="X512" s="72">
        <v>2.1</v>
      </c>
      <c r="Y512" s="72"/>
      <c r="Z512" s="73">
        <v>34.520000000000003</v>
      </c>
      <c r="AA512" s="73">
        <v>61.15</v>
      </c>
      <c r="AB512" s="73">
        <v>8.1999999999999993</v>
      </c>
      <c r="AC512" s="72"/>
      <c r="AD512" s="72"/>
      <c r="AE512" s="72"/>
      <c r="AF512" s="72"/>
      <c r="AG512" s="72"/>
      <c r="AH512" s="74"/>
      <c r="AI512" s="72"/>
      <c r="AJ512" s="72"/>
      <c r="AK512" s="91"/>
      <c r="AL512" s="72"/>
    </row>
    <row r="513" spans="1:40">
      <c r="A513" s="137">
        <v>512</v>
      </c>
      <c r="B513" s="138">
        <v>2022</v>
      </c>
      <c r="C513" s="115" t="s">
        <v>135</v>
      </c>
      <c r="D513" s="116" t="s">
        <v>105</v>
      </c>
      <c r="E513" s="112" t="s">
        <v>23</v>
      </c>
      <c r="F513" s="117" t="s">
        <v>33</v>
      </c>
      <c r="H513" s="139">
        <v>44782</v>
      </c>
      <c r="I513" s="139">
        <v>44789</v>
      </c>
      <c r="J513" s="129">
        <v>4</v>
      </c>
      <c r="K513" s="70">
        <v>1.32</v>
      </c>
      <c r="L513" s="71"/>
      <c r="M513" s="71"/>
      <c r="N513" s="71"/>
      <c r="P513" s="72"/>
      <c r="Q513" s="72"/>
      <c r="R513" s="72"/>
      <c r="S513" s="72"/>
      <c r="T513" s="72"/>
      <c r="U513" s="72"/>
      <c r="V513" s="72"/>
      <c r="W513" s="72"/>
      <c r="X513" s="72"/>
      <c r="Y513" s="72"/>
      <c r="Z513" s="72"/>
      <c r="AA513" s="72"/>
      <c r="AB513" s="72"/>
      <c r="AC513" s="72"/>
      <c r="AD513" s="72"/>
      <c r="AE513" s="72"/>
      <c r="AF513" s="72"/>
      <c r="AG513" s="72"/>
      <c r="AH513" s="73">
        <v>3160.07</v>
      </c>
      <c r="AI513" s="72">
        <v>0.41880820614733216</v>
      </c>
      <c r="AJ513" s="72">
        <v>2.98E-2</v>
      </c>
      <c r="AK513" s="91">
        <f>$AH513*AI513</f>
        <v>1323.463248</v>
      </c>
      <c r="AL513" s="91">
        <f>$AH513*AJ513</f>
        <v>94.170086000000012</v>
      </c>
    </row>
    <row r="514" spans="1:40">
      <c r="A514" s="137">
        <v>513</v>
      </c>
      <c r="B514" s="138">
        <v>2022</v>
      </c>
      <c r="C514" s="115" t="s">
        <v>135</v>
      </c>
      <c r="D514" s="116" t="s">
        <v>105</v>
      </c>
      <c r="E514" s="112" t="s">
        <v>15</v>
      </c>
      <c r="F514" s="117" t="s">
        <v>35</v>
      </c>
      <c r="G514" s="134" t="s">
        <v>46</v>
      </c>
      <c r="H514" s="139">
        <v>44798</v>
      </c>
      <c r="I514" s="139">
        <v>44799</v>
      </c>
      <c r="J514" s="129"/>
      <c r="K514" s="70">
        <v>1.32</v>
      </c>
      <c r="L514" s="71">
        <f>N514*K514</f>
        <v>36.524400000000007</v>
      </c>
      <c r="M514" s="71"/>
      <c r="N514" s="71">
        <v>27.67</v>
      </c>
      <c r="O514" s="48" t="s">
        <v>5</v>
      </c>
      <c r="P514" s="72">
        <v>72.2</v>
      </c>
      <c r="Q514" s="72">
        <v>42.4</v>
      </c>
      <c r="R514" s="72"/>
      <c r="S514" s="72">
        <v>378.2</v>
      </c>
      <c r="T514" s="73">
        <v>5.24</v>
      </c>
      <c r="U514" s="72">
        <f>N514*1000*X514/100</f>
        <v>774.76</v>
      </c>
      <c r="V514" s="72">
        <f>S514*U514/1000</f>
        <v>293.01423199999994</v>
      </c>
      <c r="W514" s="72">
        <f>P514*U514/1000</f>
        <v>55.937671999999999</v>
      </c>
      <c r="X514" s="72">
        <v>2.8</v>
      </c>
      <c r="Y514" s="72"/>
      <c r="Z514" s="73">
        <v>31.1</v>
      </c>
      <c r="AA514" s="73">
        <v>70.8</v>
      </c>
      <c r="AB514" s="73">
        <v>8.23</v>
      </c>
      <c r="AC514" s="72"/>
      <c r="AD514" s="72"/>
      <c r="AE514" s="72"/>
      <c r="AF514" s="72"/>
      <c r="AG514" s="72"/>
      <c r="AH514" s="74"/>
      <c r="AI514" s="72"/>
      <c r="AJ514" s="72"/>
      <c r="AK514" s="91"/>
      <c r="AL514" s="72"/>
    </row>
    <row r="515" spans="1:40">
      <c r="A515" s="137">
        <v>514</v>
      </c>
      <c r="B515" s="138">
        <v>2022</v>
      </c>
      <c r="C515" s="115" t="s">
        <v>135</v>
      </c>
      <c r="D515" s="116" t="s">
        <v>105</v>
      </c>
      <c r="E515" s="112" t="s">
        <v>23</v>
      </c>
      <c r="F515" s="117" t="s">
        <v>33</v>
      </c>
      <c r="H515" s="139">
        <v>44825</v>
      </c>
      <c r="I515" s="139">
        <v>44825</v>
      </c>
      <c r="J515" s="129">
        <v>5</v>
      </c>
      <c r="K515" s="70">
        <v>1.32</v>
      </c>
      <c r="L515" s="71"/>
      <c r="M515" s="71"/>
      <c r="N515" s="71"/>
      <c r="P515" s="72"/>
      <c r="Q515" s="72"/>
      <c r="R515" s="72"/>
      <c r="S515" s="72"/>
      <c r="T515" s="72"/>
      <c r="U515" s="72"/>
      <c r="V515" s="72"/>
      <c r="W515" s="72"/>
      <c r="X515" s="72"/>
      <c r="Y515" s="72"/>
      <c r="Z515" s="72"/>
      <c r="AA515" s="72"/>
      <c r="AB515" s="72"/>
      <c r="AC515" s="72"/>
      <c r="AD515" s="72"/>
      <c r="AE515" s="72"/>
      <c r="AF515" s="72"/>
      <c r="AG515" s="72"/>
      <c r="AH515" s="73">
        <v>1672.3</v>
      </c>
      <c r="AI515" s="72">
        <v>0.42723752915146807</v>
      </c>
      <c r="AJ515" s="72">
        <v>3.6500000000000005E-2</v>
      </c>
      <c r="AK515" s="91">
        <f>$AH515*AI515</f>
        <v>714.46932000000004</v>
      </c>
      <c r="AL515" s="91">
        <f>$AH515*AJ515</f>
        <v>61.038950000000007</v>
      </c>
    </row>
    <row r="516" spans="1:40">
      <c r="A516" s="137">
        <v>515</v>
      </c>
      <c r="B516" s="138">
        <v>2022</v>
      </c>
      <c r="C516" s="115" t="s">
        <v>135</v>
      </c>
      <c r="D516" s="116" t="s">
        <v>105</v>
      </c>
      <c r="E516" s="112" t="s">
        <v>15</v>
      </c>
      <c r="F516" s="117" t="s">
        <v>35</v>
      </c>
      <c r="G516" s="134" t="s">
        <v>46</v>
      </c>
      <c r="H516" s="139">
        <v>44839</v>
      </c>
      <c r="I516" s="139">
        <v>44841</v>
      </c>
      <c r="J516" s="129"/>
      <c r="K516" s="70">
        <v>1.32</v>
      </c>
      <c r="L516" s="71">
        <f>N516*K516</f>
        <v>56.720399999999998</v>
      </c>
      <c r="M516" s="71"/>
      <c r="N516" s="71">
        <v>42.97</v>
      </c>
      <c r="O516" s="48" t="s">
        <v>5</v>
      </c>
      <c r="P516" s="72">
        <v>61.3</v>
      </c>
      <c r="Q516" s="72">
        <v>32.9</v>
      </c>
      <c r="R516" s="72"/>
      <c r="S516" s="72">
        <v>399.7</v>
      </c>
      <c r="T516" s="73">
        <v>6.52</v>
      </c>
      <c r="U516" s="72">
        <f>N516*1000*X516/100</f>
        <v>1289.0999999999999</v>
      </c>
      <c r="V516" s="72">
        <f>S516*U516/1000</f>
        <v>515.25326999999993</v>
      </c>
      <c r="W516" s="72">
        <f>P516*U516/1000</f>
        <v>79.021829999999994</v>
      </c>
      <c r="X516" s="72">
        <v>3</v>
      </c>
      <c r="Y516" s="72"/>
      <c r="Z516" s="73">
        <v>33.96</v>
      </c>
      <c r="AA516" s="73">
        <v>72.209999999999994</v>
      </c>
      <c r="AB516" s="73">
        <v>8.81</v>
      </c>
      <c r="AC516" s="72"/>
      <c r="AD516" s="72"/>
      <c r="AE516" s="72"/>
      <c r="AF516" s="72"/>
      <c r="AG516" s="72"/>
      <c r="AH516" s="74"/>
      <c r="AI516" s="72"/>
      <c r="AJ516" s="72"/>
      <c r="AK516" s="91"/>
      <c r="AL516" s="72"/>
    </row>
    <row r="517" spans="1:40">
      <c r="A517" s="137">
        <v>516</v>
      </c>
      <c r="B517" s="138">
        <v>2022</v>
      </c>
      <c r="C517" s="115" t="s">
        <v>135</v>
      </c>
      <c r="D517" s="116" t="s">
        <v>105</v>
      </c>
      <c r="E517" s="112" t="s">
        <v>23</v>
      </c>
      <c r="F517" s="117" t="s">
        <v>27</v>
      </c>
      <c r="G517" s="134" t="s">
        <v>45</v>
      </c>
      <c r="H517" s="139">
        <v>44906</v>
      </c>
      <c r="I517" s="139">
        <v>44910</v>
      </c>
      <c r="J517" s="113">
        <v>6</v>
      </c>
      <c r="K517" s="70">
        <v>1.32</v>
      </c>
      <c r="L517" s="71">
        <f>178/(2.61+1.32)*K517</f>
        <v>59.786259541984741</v>
      </c>
      <c r="M517" s="86" t="s">
        <v>199</v>
      </c>
      <c r="N517" s="71">
        <f>L517/K517</f>
        <v>45.292620865139952</v>
      </c>
      <c r="O517" s="48" t="s">
        <v>64</v>
      </c>
      <c r="T517" s="128"/>
      <c r="Z517" s="80"/>
      <c r="AA517" s="80"/>
      <c r="AB517" s="80"/>
      <c r="AH517" s="73">
        <v>971.6</v>
      </c>
      <c r="AI517" s="140">
        <v>0.42193703170028812</v>
      </c>
      <c r="AJ517" s="140">
        <v>3.7100000000000001E-2</v>
      </c>
      <c r="AK517" s="91">
        <f>$AH517*AI517</f>
        <v>409.95401999999996</v>
      </c>
      <c r="AL517" s="91">
        <f>$AH517*AJ517</f>
        <v>36.04636</v>
      </c>
    </row>
    <row r="518" spans="1:40">
      <c r="A518" s="137">
        <v>517</v>
      </c>
      <c r="B518" s="138">
        <v>2022</v>
      </c>
      <c r="C518" s="118" t="s">
        <v>136</v>
      </c>
      <c r="D518" s="116" t="s">
        <v>105</v>
      </c>
      <c r="E518" s="112" t="s">
        <v>15</v>
      </c>
      <c r="F518" s="117" t="s">
        <v>35</v>
      </c>
      <c r="G518" s="134" t="s">
        <v>46</v>
      </c>
      <c r="H518" s="139">
        <v>44634</v>
      </c>
      <c r="I518" s="139">
        <v>44634</v>
      </c>
      <c r="J518" s="129"/>
      <c r="K518" s="70">
        <v>2.61</v>
      </c>
      <c r="L518" s="71">
        <f>N518*K518</f>
        <v>80.126999999999995</v>
      </c>
      <c r="M518" s="71"/>
      <c r="N518" s="71">
        <v>30.7</v>
      </c>
      <c r="O518" s="48" t="s">
        <v>5</v>
      </c>
      <c r="P518" s="72">
        <v>59.8</v>
      </c>
      <c r="Q518" s="72">
        <v>32</v>
      </c>
      <c r="R518" s="72"/>
      <c r="S518" s="72">
        <v>373.8</v>
      </c>
      <c r="T518" s="73">
        <v>6.25</v>
      </c>
      <c r="U518" s="72">
        <f>N518*1000*X518/100</f>
        <v>1381.5</v>
      </c>
      <c r="V518" s="72">
        <f>S518*U518/1000</f>
        <v>516.40470000000005</v>
      </c>
      <c r="W518" s="72">
        <f>P518*U518/1000</f>
        <v>82.613699999999994</v>
      </c>
      <c r="X518" s="72">
        <v>4.5</v>
      </c>
      <c r="Y518" s="72"/>
      <c r="Z518" s="73">
        <v>34.35</v>
      </c>
      <c r="AA518" s="73">
        <v>49.15</v>
      </c>
      <c r="AB518" s="73">
        <v>9.08</v>
      </c>
      <c r="AC518" s="72"/>
      <c r="AD518" s="72"/>
      <c r="AE518" s="72"/>
      <c r="AF518" s="72"/>
      <c r="AG518" s="72"/>
      <c r="AH518" s="74"/>
      <c r="AI518" s="72"/>
      <c r="AJ518" s="72"/>
      <c r="AK518" s="91"/>
      <c r="AL518" s="91"/>
      <c r="AM518" s="91"/>
      <c r="AN518" s="91"/>
    </row>
    <row r="519" spans="1:40">
      <c r="A519" s="137">
        <v>518</v>
      </c>
      <c r="B519" s="138">
        <v>2022</v>
      </c>
      <c r="C519" s="118" t="s">
        <v>136</v>
      </c>
      <c r="D519" s="116" t="s">
        <v>105</v>
      </c>
      <c r="E519" s="112" t="s">
        <v>23</v>
      </c>
      <c r="F519" s="117" t="s">
        <v>33</v>
      </c>
      <c r="G519" s="134"/>
      <c r="H519" s="139">
        <v>44691</v>
      </c>
      <c r="I519" s="139">
        <v>44691</v>
      </c>
      <c r="J519" s="129">
        <v>1</v>
      </c>
      <c r="K519" s="70">
        <v>2.61</v>
      </c>
      <c r="L519" s="71"/>
      <c r="M519" s="71"/>
      <c r="N519" s="71"/>
      <c r="P519" s="72"/>
      <c r="Q519" s="72"/>
      <c r="R519" s="72"/>
      <c r="S519" s="72"/>
      <c r="T519" s="72"/>
      <c r="U519" s="72"/>
      <c r="V519" s="72"/>
      <c r="W519" s="72"/>
      <c r="X519" s="72"/>
      <c r="Y519" s="72"/>
      <c r="Z519" s="72"/>
      <c r="AA519" s="72"/>
      <c r="AB519" s="72"/>
      <c r="AC519" s="72"/>
      <c r="AD519" s="72"/>
      <c r="AE519" s="72"/>
      <c r="AF519" s="72"/>
      <c r="AG519" s="72"/>
      <c r="AH519" s="73">
        <v>5051.2</v>
      </c>
      <c r="AI519" s="72">
        <v>0.42879282150776049</v>
      </c>
      <c r="AJ519" s="72">
        <v>1.6421092017738358E-2</v>
      </c>
      <c r="AK519" s="91">
        <f>$AH519*AI519</f>
        <v>2165.9182999999998</v>
      </c>
      <c r="AL519" s="91">
        <f>$AH519*AJ519</f>
        <v>82.946219999999983</v>
      </c>
      <c r="AM519" s="91"/>
      <c r="AN519" s="91"/>
    </row>
    <row r="520" spans="1:40">
      <c r="A520" s="137">
        <v>519</v>
      </c>
      <c r="B520" s="138">
        <v>2022</v>
      </c>
      <c r="C520" s="118" t="s">
        <v>136</v>
      </c>
      <c r="D520" s="116" t="s">
        <v>105</v>
      </c>
      <c r="E520" s="112" t="s">
        <v>15</v>
      </c>
      <c r="F520" s="117" t="s">
        <v>35</v>
      </c>
      <c r="G520" s="134" t="s">
        <v>46</v>
      </c>
      <c r="H520" s="139">
        <v>44704</v>
      </c>
      <c r="I520" s="139">
        <v>44704</v>
      </c>
      <c r="J520" s="129"/>
      <c r="K520" s="70">
        <v>2.61</v>
      </c>
      <c r="L520" s="71">
        <f>N520*K520</f>
        <v>67.076999999999998</v>
      </c>
      <c r="M520" s="71"/>
      <c r="N520" s="71">
        <v>25.7</v>
      </c>
      <c r="O520" s="48" t="s">
        <v>5</v>
      </c>
      <c r="P520" s="72">
        <v>76.2</v>
      </c>
      <c r="Q520" s="72">
        <v>46.5</v>
      </c>
      <c r="R520" s="72"/>
      <c r="S520" s="72">
        <v>374.9</v>
      </c>
      <c r="T520" s="73">
        <v>4.92</v>
      </c>
      <c r="U520" s="72">
        <f>N520*1000*X520/100</f>
        <v>745.3</v>
      </c>
      <c r="V520" s="72">
        <f>S520*U520/1000</f>
        <v>279.41296999999997</v>
      </c>
      <c r="W520" s="72">
        <f>P520*U520/1000</f>
        <v>56.79186</v>
      </c>
      <c r="X520" s="72">
        <v>2.9</v>
      </c>
      <c r="Y520" s="72"/>
      <c r="Z520" s="73">
        <v>32.590000000000003</v>
      </c>
      <c r="AA520" s="73">
        <v>79.69</v>
      </c>
      <c r="AB520" s="73">
        <v>7.53</v>
      </c>
      <c r="AC520" s="72"/>
      <c r="AD520" s="72"/>
      <c r="AE520" s="72"/>
      <c r="AF520" s="72"/>
      <c r="AG520" s="72"/>
      <c r="AH520" s="74"/>
      <c r="AI520" s="72"/>
      <c r="AJ520" s="72"/>
      <c r="AK520" s="91"/>
      <c r="AL520" s="72"/>
    </row>
    <row r="521" spans="1:40">
      <c r="A521" s="137">
        <v>520</v>
      </c>
      <c r="B521" s="138">
        <v>2022</v>
      </c>
      <c r="C521" s="118" t="s">
        <v>136</v>
      </c>
      <c r="D521" s="116" t="s">
        <v>105</v>
      </c>
      <c r="E521" s="112" t="s">
        <v>23</v>
      </c>
      <c r="F521" s="117" t="s">
        <v>33</v>
      </c>
      <c r="G521" s="134"/>
      <c r="H521" s="139">
        <v>44722</v>
      </c>
      <c r="I521" s="139">
        <v>44722</v>
      </c>
      <c r="J521" s="129">
        <v>2</v>
      </c>
      <c r="K521" s="70">
        <v>2.61</v>
      </c>
      <c r="L521" s="71"/>
      <c r="M521" s="71"/>
      <c r="N521" s="71"/>
      <c r="P521" s="72"/>
      <c r="Q521" s="72"/>
      <c r="R521" s="72"/>
      <c r="S521" s="72"/>
      <c r="T521" s="72"/>
      <c r="U521" s="72"/>
      <c r="V521" s="72"/>
      <c r="W521" s="72"/>
      <c r="X521" s="72"/>
      <c r="Y521" s="72"/>
      <c r="Z521" s="72"/>
      <c r="AA521" s="72"/>
      <c r="AB521" s="72"/>
      <c r="AC521" s="72"/>
      <c r="AD521" s="72"/>
      <c r="AE521" s="72"/>
      <c r="AF521" s="72"/>
      <c r="AG521" s="72"/>
      <c r="AI521" s="72"/>
      <c r="AJ521" s="72"/>
      <c r="AK521" s="91"/>
      <c r="AL521" s="91"/>
    </row>
    <row r="522" spans="1:40">
      <c r="A522" s="137">
        <v>521</v>
      </c>
      <c r="B522" s="138">
        <v>2022</v>
      </c>
      <c r="C522" s="118" t="s">
        <v>136</v>
      </c>
      <c r="D522" s="116" t="s">
        <v>105</v>
      </c>
      <c r="E522" s="112" t="s">
        <v>15</v>
      </c>
      <c r="F522" s="117" t="s">
        <v>35</v>
      </c>
      <c r="G522" s="134" t="s">
        <v>46</v>
      </c>
      <c r="H522" s="139">
        <v>44739</v>
      </c>
      <c r="I522" s="139">
        <v>44739</v>
      </c>
      <c r="J522" s="129"/>
      <c r="K522" s="70">
        <v>2.61</v>
      </c>
      <c r="L522" s="71">
        <f>N522*K522</f>
        <v>85.347000000000008</v>
      </c>
      <c r="M522" s="71"/>
      <c r="N522" s="71">
        <v>32.700000000000003</v>
      </c>
      <c r="O522" s="48" t="s">
        <v>5</v>
      </c>
      <c r="P522" s="72">
        <v>60</v>
      </c>
      <c r="Q522" s="72">
        <v>33.200000000000003</v>
      </c>
      <c r="R522" s="72"/>
      <c r="S522" s="72">
        <v>414.4</v>
      </c>
      <c r="T522" s="73">
        <v>6.9</v>
      </c>
      <c r="U522" s="72">
        <f>N522*1000*X522/100</f>
        <v>1308.0000000000002</v>
      </c>
      <c r="V522" s="72">
        <f>S522*U522/1000</f>
        <v>542.03520000000003</v>
      </c>
      <c r="W522" s="72">
        <f>P522*U522/1000</f>
        <v>78.480000000000018</v>
      </c>
      <c r="X522" s="72">
        <v>4</v>
      </c>
      <c r="Y522" s="72"/>
      <c r="Z522" s="73">
        <v>29.13</v>
      </c>
      <c r="AA522" s="73">
        <v>60.88</v>
      </c>
      <c r="AB522" s="73">
        <v>7.85</v>
      </c>
      <c r="AC522" s="72"/>
      <c r="AD522" s="72"/>
      <c r="AE522" s="72"/>
      <c r="AF522" s="72"/>
      <c r="AG522" s="72"/>
      <c r="AH522" s="74"/>
      <c r="AI522" s="72"/>
      <c r="AJ522" s="72"/>
      <c r="AK522" s="91"/>
      <c r="AL522" s="72"/>
    </row>
    <row r="523" spans="1:40">
      <c r="A523" s="137">
        <v>522</v>
      </c>
      <c r="B523" s="138">
        <v>2022</v>
      </c>
      <c r="C523" s="118" t="s">
        <v>136</v>
      </c>
      <c r="D523" s="116" t="s">
        <v>105</v>
      </c>
      <c r="E523" s="112" t="s">
        <v>23</v>
      </c>
      <c r="F523" s="117" t="s">
        <v>33</v>
      </c>
      <c r="H523" s="139">
        <v>44748</v>
      </c>
      <c r="I523" s="139">
        <v>44748</v>
      </c>
      <c r="J523" s="129">
        <v>3</v>
      </c>
      <c r="K523" s="70">
        <v>2.61</v>
      </c>
      <c r="L523" s="71"/>
      <c r="M523" s="71"/>
      <c r="N523" s="71"/>
      <c r="P523" s="72"/>
      <c r="Q523" s="72"/>
      <c r="R523" s="72"/>
      <c r="S523" s="72"/>
      <c r="T523" s="72"/>
      <c r="U523" s="72"/>
      <c r="V523" s="72"/>
      <c r="W523" s="72"/>
      <c r="X523" s="72"/>
      <c r="Y523" s="72"/>
      <c r="Z523" s="72"/>
      <c r="AA523" s="72"/>
      <c r="AB523" s="72"/>
      <c r="AC523" s="72"/>
      <c r="AD523" s="72"/>
      <c r="AE523" s="72"/>
      <c r="AF523" s="72"/>
      <c r="AG523" s="72"/>
      <c r="AH523" s="73">
        <v>2176.1</v>
      </c>
      <c r="AI523" s="72">
        <v>0.42284383989706353</v>
      </c>
      <c r="AJ523" s="72">
        <v>3.1010210927806627E-2</v>
      </c>
      <c r="AK523" s="91">
        <f>$AH523*AI523</f>
        <v>920.1504799999999</v>
      </c>
      <c r="AL523" s="91">
        <f>$AH523*AJ523</f>
        <v>67.481319999999997</v>
      </c>
    </row>
    <row r="524" spans="1:40">
      <c r="A524" s="137">
        <v>523</v>
      </c>
      <c r="B524" s="138">
        <v>2022</v>
      </c>
      <c r="C524" s="118" t="s">
        <v>136</v>
      </c>
      <c r="D524" s="116" t="s">
        <v>105</v>
      </c>
      <c r="E524" s="112" t="s">
        <v>15</v>
      </c>
      <c r="F524" s="117" t="s">
        <v>35</v>
      </c>
      <c r="G524" s="134" t="s">
        <v>46</v>
      </c>
      <c r="H524" s="139">
        <v>44762</v>
      </c>
      <c r="I524" s="139">
        <v>44762</v>
      </c>
      <c r="J524" s="129"/>
      <c r="K524" s="70">
        <v>2.61</v>
      </c>
      <c r="L524" s="71">
        <f>N524*K524</f>
        <v>76.733999999999995</v>
      </c>
      <c r="M524" s="71"/>
      <c r="N524" s="71">
        <v>29.4</v>
      </c>
      <c r="O524" s="48" t="s">
        <v>5</v>
      </c>
      <c r="P524" s="72">
        <v>69.900000000000006</v>
      </c>
      <c r="Q524" s="72">
        <v>46.1</v>
      </c>
      <c r="R524" s="72"/>
      <c r="S524" s="72">
        <v>385.4</v>
      </c>
      <c r="T524" s="73">
        <v>5.51</v>
      </c>
      <c r="U524" s="72">
        <f>N524*1000*X524/100</f>
        <v>617.4</v>
      </c>
      <c r="V524" s="72">
        <f>S524*U524/1000</f>
        <v>237.94595999999996</v>
      </c>
      <c r="W524" s="72">
        <f>P524*U524/1000</f>
        <v>43.156260000000003</v>
      </c>
      <c r="X524" s="72">
        <v>2.1</v>
      </c>
      <c r="Y524" s="72"/>
      <c r="Z524" s="73">
        <v>34.520000000000003</v>
      </c>
      <c r="AA524" s="73">
        <v>61.15</v>
      </c>
      <c r="AB524" s="73">
        <v>8.1999999999999993</v>
      </c>
      <c r="AC524" s="72"/>
      <c r="AD524" s="72"/>
      <c r="AE524" s="72"/>
      <c r="AF524" s="72"/>
      <c r="AG524" s="72"/>
      <c r="AH524" s="74"/>
      <c r="AI524" s="72"/>
      <c r="AJ524" s="72"/>
      <c r="AK524" s="91"/>
      <c r="AL524" s="72"/>
    </row>
    <row r="525" spans="1:40">
      <c r="A525" s="137">
        <v>524</v>
      </c>
      <c r="B525" s="138">
        <v>2022</v>
      </c>
      <c r="C525" s="118" t="s">
        <v>136</v>
      </c>
      <c r="D525" s="116" t="s">
        <v>105</v>
      </c>
      <c r="E525" s="112" t="s">
        <v>23</v>
      </c>
      <c r="F525" s="117" t="s">
        <v>33</v>
      </c>
      <c r="H525" s="139">
        <v>44782</v>
      </c>
      <c r="I525" s="139">
        <v>44789</v>
      </c>
      <c r="J525" s="129">
        <v>4</v>
      </c>
      <c r="K525" s="70">
        <v>2.61</v>
      </c>
      <c r="L525" s="71"/>
      <c r="M525" s="71"/>
      <c r="N525" s="71"/>
      <c r="P525" s="72"/>
      <c r="Q525" s="72"/>
      <c r="R525" s="72"/>
      <c r="S525" s="72"/>
      <c r="T525" s="72"/>
      <c r="U525" s="72"/>
      <c r="V525" s="72"/>
      <c r="W525" s="72"/>
      <c r="X525" s="72"/>
      <c r="Y525" s="72"/>
      <c r="Z525" s="72"/>
      <c r="AA525" s="72"/>
      <c r="AB525" s="72"/>
      <c r="AC525" s="72"/>
      <c r="AD525" s="72"/>
      <c r="AE525" s="72"/>
      <c r="AF525" s="72"/>
      <c r="AG525" s="72"/>
      <c r="AH525" s="73">
        <v>3321.85</v>
      </c>
      <c r="AI525" s="72">
        <v>0.42162202206601745</v>
      </c>
      <c r="AJ525" s="72">
        <v>2.7720615319776633E-2</v>
      </c>
      <c r="AK525" s="91">
        <f>$AH525*AI525</f>
        <v>1400.565114</v>
      </c>
      <c r="AL525" s="91">
        <f>$AH525*AJ525</f>
        <v>92.083725999999999</v>
      </c>
    </row>
    <row r="526" spans="1:40">
      <c r="A526" s="137">
        <v>525</v>
      </c>
      <c r="B526" s="138">
        <v>2022</v>
      </c>
      <c r="C526" s="118" t="s">
        <v>136</v>
      </c>
      <c r="D526" s="116" t="s">
        <v>105</v>
      </c>
      <c r="E526" s="112" t="s">
        <v>15</v>
      </c>
      <c r="F526" s="117" t="s">
        <v>35</v>
      </c>
      <c r="G526" s="134" t="s">
        <v>46</v>
      </c>
      <c r="H526" s="139">
        <v>44798</v>
      </c>
      <c r="I526" s="139">
        <v>44799</v>
      </c>
      <c r="J526" s="129"/>
      <c r="K526" s="70">
        <v>2.61</v>
      </c>
      <c r="L526" s="71">
        <f>N526*K526</f>
        <v>72.218699999999998</v>
      </c>
      <c r="M526" s="71"/>
      <c r="N526" s="71">
        <v>27.67</v>
      </c>
      <c r="O526" s="48" t="s">
        <v>5</v>
      </c>
      <c r="P526" s="72">
        <v>72.2</v>
      </c>
      <c r="Q526" s="72">
        <v>42.4</v>
      </c>
      <c r="R526" s="72"/>
      <c r="S526" s="72">
        <v>378.2</v>
      </c>
      <c r="T526" s="73">
        <v>5.24</v>
      </c>
      <c r="U526" s="72">
        <f>N526*1000*X526/100</f>
        <v>774.76</v>
      </c>
      <c r="V526" s="72">
        <f>S526*U526/1000</f>
        <v>293.01423199999994</v>
      </c>
      <c r="W526" s="72">
        <f>P526*U526/1000</f>
        <v>55.937671999999999</v>
      </c>
      <c r="X526" s="72">
        <v>2.8</v>
      </c>
      <c r="Y526" s="72"/>
      <c r="Z526" s="73">
        <v>31.1</v>
      </c>
      <c r="AA526" s="73">
        <v>70.8</v>
      </c>
      <c r="AB526" s="73">
        <v>8.23</v>
      </c>
      <c r="AC526" s="72"/>
      <c r="AD526" s="72"/>
      <c r="AE526" s="72"/>
      <c r="AF526" s="72"/>
      <c r="AG526" s="72"/>
      <c r="AH526" s="74"/>
      <c r="AI526" s="72"/>
      <c r="AJ526" s="72"/>
      <c r="AK526" s="91"/>
      <c r="AL526" s="72"/>
    </row>
    <row r="527" spans="1:40">
      <c r="A527" s="137">
        <v>526</v>
      </c>
      <c r="B527" s="138">
        <v>2022</v>
      </c>
      <c r="C527" s="118" t="s">
        <v>136</v>
      </c>
      <c r="D527" s="116" t="s">
        <v>105</v>
      </c>
      <c r="E527" s="112" t="s">
        <v>23</v>
      </c>
      <c r="F527" s="117" t="s">
        <v>33</v>
      </c>
      <c r="H527" s="139">
        <v>44825</v>
      </c>
      <c r="I527" s="139">
        <v>44825</v>
      </c>
      <c r="J527" s="129">
        <v>5</v>
      </c>
      <c r="K527" s="70">
        <v>2.61</v>
      </c>
      <c r="L527" s="71"/>
      <c r="M527" s="71"/>
      <c r="N527" s="71"/>
      <c r="P527" s="72"/>
      <c r="Q527" s="72"/>
      <c r="R527" s="72"/>
      <c r="S527" s="72"/>
      <c r="T527" s="72"/>
      <c r="U527" s="72"/>
      <c r="V527" s="72"/>
      <c r="W527" s="72"/>
      <c r="X527" s="72"/>
      <c r="Y527" s="72"/>
      <c r="Z527" s="72"/>
      <c r="AA527" s="72"/>
      <c r="AB527" s="72"/>
      <c r="AC527" s="72"/>
      <c r="AD527" s="72"/>
      <c r="AE527" s="72"/>
      <c r="AF527" s="72"/>
      <c r="AG527" s="72"/>
      <c r="AH527" s="73">
        <v>1867.3</v>
      </c>
      <c r="AI527" s="72">
        <v>0.42250967707384995</v>
      </c>
      <c r="AJ527" s="72">
        <v>3.9522208536389436E-2</v>
      </c>
      <c r="AK527" s="91">
        <f>$AH527*AI527</f>
        <v>788.95231999999999</v>
      </c>
      <c r="AL527" s="91">
        <f>$AH527*AJ527</f>
        <v>73.799819999999997</v>
      </c>
    </row>
    <row r="528" spans="1:40">
      <c r="A528" s="137">
        <v>527</v>
      </c>
      <c r="B528" s="138">
        <v>2022</v>
      </c>
      <c r="C528" s="118" t="s">
        <v>136</v>
      </c>
      <c r="D528" s="116" t="s">
        <v>105</v>
      </c>
      <c r="E528" s="112" t="s">
        <v>15</v>
      </c>
      <c r="F528" s="117" t="s">
        <v>35</v>
      </c>
      <c r="G528" s="134" t="s">
        <v>46</v>
      </c>
      <c r="H528" s="139">
        <v>44839</v>
      </c>
      <c r="I528" s="139">
        <v>44841</v>
      </c>
      <c r="J528" s="129"/>
      <c r="K528" s="70">
        <v>2.61</v>
      </c>
      <c r="L528" s="71">
        <f>N528*K528</f>
        <v>112.15169999999999</v>
      </c>
      <c r="M528" s="71"/>
      <c r="N528" s="71">
        <v>42.97</v>
      </c>
      <c r="O528" s="48" t="s">
        <v>5</v>
      </c>
      <c r="P528" s="72">
        <v>61.3</v>
      </c>
      <c r="Q528" s="72">
        <v>32.9</v>
      </c>
      <c r="R528" s="72"/>
      <c r="S528" s="72">
        <v>399.7</v>
      </c>
      <c r="T528" s="73">
        <v>6.52</v>
      </c>
      <c r="U528" s="72">
        <f>N528*1000*X528/100</f>
        <v>1289.0999999999999</v>
      </c>
      <c r="V528" s="72">
        <f>S528*U528/1000</f>
        <v>515.25326999999993</v>
      </c>
      <c r="W528" s="72">
        <f>P528*U528/1000</f>
        <v>79.021829999999994</v>
      </c>
      <c r="X528" s="72">
        <v>3</v>
      </c>
      <c r="Y528" s="72"/>
      <c r="Z528" s="73">
        <v>33.96</v>
      </c>
      <c r="AA528" s="73">
        <v>72.209999999999994</v>
      </c>
      <c r="AB528" s="73">
        <v>8.81</v>
      </c>
      <c r="AC528" s="72"/>
      <c r="AD528" s="72"/>
      <c r="AE528" s="72"/>
      <c r="AF528" s="72"/>
      <c r="AG528" s="72"/>
      <c r="AH528" s="74"/>
      <c r="AI528" s="72"/>
      <c r="AJ528" s="72"/>
      <c r="AK528" s="91"/>
      <c r="AL528" s="72"/>
    </row>
    <row r="529" spans="1:38">
      <c r="A529" s="137">
        <v>528</v>
      </c>
      <c r="B529" s="138">
        <v>2022</v>
      </c>
      <c r="C529" s="118" t="s">
        <v>136</v>
      </c>
      <c r="D529" s="116" t="s">
        <v>105</v>
      </c>
      <c r="E529" s="112" t="s">
        <v>23</v>
      </c>
      <c r="F529" s="117" t="s">
        <v>27</v>
      </c>
      <c r="G529" s="134" t="s">
        <v>45</v>
      </c>
      <c r="H529" s="139">
        <v>44906</v>
      </c>
      <c r="I529" s="139">
        <v>44910</v>
      </c>
      <c r="J529" s="113">
        <v>6</v>
      </c>
      <c r="K529" s="70">
        <v>2.61</v>
      </c>
      <c r="L529" s="71">
        <f>178/(2.61+1.32)*K529</f>
        <v>118.21374045801527</v>
      </c>
      <c r="M529" s="86" t="s">
        <v>199</v>
      </c>
      <c r="N529" s="71">
        <f>L529/K529</f>
        <v>45.292620865139952</v>
      </c>
      <c r="O529" s="48" t="s">
        <v>64</v>
      </c>
      <c r="T529" s="128"/>
      <c r="Z529" s="80"/>
      <c r="AA529" s="80"/>
      <c r="AB529" s="80"/>
      <c r="AH529" s="73">
        <v>1196.2</v>
      </c>
      <c r="AI529" s="140">
        <v>0.39348846346764754</v>
      </c>
      <c r="AJ529" s="140">
        <v>3.7163016218023738E-2</v>
      </c>
      <c r="AK529" s="91">
        <f>$AH529*AI529</f>
        <v>470.6909</v>
      </c>
      <c r="AL529" s="91">
        <f>$AH529*AJ529</f>
        <v>44.4544</v>
      </c>
    </row>
    <row r="530" spans="1:38">
      <c r="A530" s="137">
        <v>529</v>
      </c>
      <c r="B530" s="141">
        <v>2023</v>
      </c>
      <c r="C530" s="115" t="s">
        <v>135</v>
      </c>
      <c r="D530" s="116" t="s">
        <v>105</v>
      </c>
      <c r="E530" s="116" t="s">
        <v>15</v>
      </c>
      <c r="F530" s="116" t="s">
        <v>35</v>
      </c>
      <c r="G530" s="116" t="s">
        <v>46</v>
      </c>
      <c r="H530" s="139">
        <v>45006</v>
      </c>
      <c r="I530" s="139">
        <v>45006</v>
      </c>
      <c r="J530" s="113"/>
      <c r="K530" s="70">
        <v>1.32</v>
      </c>
      <c r="L530" s="71">
        <f>N530*K530</f>
        <v>43.639200000000002</v>
      </c>
      <c r="N530" s="71">
        <v>33.06</v>
      </c>
      <c r="O530" s="48" t="s">
        <v>5</v>
      </c>
      <c r="P530" s="128">
        <v>86.7</v>
      </c>
      <c r="Q530" s="128">
        <v>48.3</v>
      </c>
      <c r="S530" s="128">
        <v>376</v>
      </c>
      <c r="T530" s="73">
        <v>4.34</v>
      </c>
      <c r="U530" s="72">
        <f>N530*1000*X530/100</f>
        <v>694.26</v>
      </c>
      <c r="V530" s="72">
        <f>S530*U530/1000</f>
        <v>261.04176000000001</v>
      </c>
      <c r="W530" s="72">
        <f>P530*U530/1000</f>
        <v>60.192342000000004</v>
      </c>
      <c r="X530" s="128">
        <v>2.1</v>
      </c>
      <c r="Z530" s="73">
        <v>34.83</v>
      </c>
      <c r="AA530" s="73">
        <v>78.959999999999994</v>
      </c>
      <c r="AB530" s="73">
        <v>8.8699999999999992</v>
      </c>
      <c r="AH530" s="142"/>
    </row>
    <row r="531" spans="1:38">
      <c r="A531" s="137">
        <v>530</v>
      </c>
      <c r="B531" s="141">
        <v>2023</v>
      </c>
      <c r="C531" s="115" t="s">
        <v>135</v>
      </c>
      <c r="D531" s="116" t="s">
        <v>105</v>
      </c>
      <c r="E531" s="116" t="s">
        <v>24</v>
      </c>
      <c r="F531" s="116" t="s">
        <v>31</v>
      </c>
      <c r="G531" s="116"/>
      <c r="H531" s="139">
        <v>45015</v>
      </c>
      <c r="I531" s="139">
        <v>45015</v>
      </c>
      <c r="J531" s="113"/>
      <c r="K531" s="70">
        <v>1.32</v>
      </c>
      <c r="N531" s="71"/>
      <c r="O531" s="48" t="s">
        <v>5</v>
      </c>
      <c r="T531" s="128"/>
      <c r="Z531" s="80"/>
      <c r="AA531" s="80"/>
      <c r="AB531" s="80"/>
      <c r="AH531" s="142"/>
    </row>
    <row r="532" spans="1:38">
      <c r="A532" s="137">
        <v>531</v>
      </c>
      <c r="B532" s="141">
        <v>2023</v>
      </c>
      <c r="C532" s="115" t="s">
        <v>135</v>
      </c>
      <c r="D532" s="116" t="s">
        <v>105</v>
      </c>
      <c r="E532" s="116" t="s">
        <v>23</v>
      </c>
      <c r="F532" s="116" t="s">
        <v>33</v>
      </c>
      <c r="G532" s="116"/>
      <c r="H532" s="139">
        <v>45050</v>
      </c>
      <c r="I532" s="139">
        <v>45050</v>
      </c>
      <c r="J532" s="113">
        <v>1</v>
      </c>
      <c r="K532" s="70">
        <v>1.32</v>
      </c>
      <c r="N532" s="71"/>
      <c r="T532" s="128"/>
      <c r="Z532" s="80"/>
      <c r="AA532" s="80"/>
      <c r="AB532" s="80"/>
      <c r="AH532" s="73">
        <v>3935.2</v>
      </c>
    </row>
    <row r="533" spans="1:38">
      <c r="A533" s="137">
        <v>532</v>
      </c>
      <c r="B533" s="141">
        <v>2023</v>
      </c>
      <c r="C533" s="115" t="s">
        <v>135</v>
      </c>
      <c r="D533" s="116" t="s">
        <v>105</v>
      </c>
      <c r="E533" s="116" t="s">
        <v>15</v>
      </c>
      <c r="F533" s="116" t="s">
        <v>35</v>
      </c>
      <c r="G533" s="116" t="s">
        <v>46</v>
      </c>
      <c r="H533" s="139">
        <v>45071</v>
      </c>
      <c r="I533" s="139">
        <v>45071</v>
      </c>
      <c r="J533" s="113"/>
      <c r="K533" s="70">
        <v>1.32</v>
      </c>
      <c r="L533" s="71">
        <f>N533*K533</f>
        <v>33.792000000000002</v>
      </c>
      <c r="N533" s="71">
        <v>25.6</v>
      </c>
      <c r="O533" s="48" t="s">
        <v>5</v>
      </c>
      <c r="P533" s="128">
        <v>67.2</v>
      </c>
      <c r="Q533" s="128">
        <v>40.200000000000003</v>
      </c>
      <c r="S533" s="128">
        <v>376.3</v>
      </c>
      <c r="T533" s="73">
        <v>5.6</v>
      </c>
      <c r="U533" s="72">
        <f>N533*1000*X533/100</f>
        <v>947.2</v>
      </c>
      <c r="V533" s="72">
        <f>S533*U533/1000</f>
        <v>356.43136000000004</v>
      </c>
      <c r="W533" s="72">
        <f>P533*U533/1000</f>
        <v>63.651840000000007</v>
      </c>
      <c r="X533" s="128">
        <v>3.7</v>
      </c>
      <c r="Z533" s="73">
        <v>32.6</v>
      </c>
      <c r="AA533" s="73">
        <v>37.25</v>
      </c>
      <c r="AB533" s="73">
        <v>8.86</v>
      </c>
      <c r="AH533" s="142"/>
    </row>
    <row r="534" spans="1:38">
      <c r="A534" s="137">
        <v>533</v>
      </c>
      <c r="B534" s="141">
        <v>2023</v>
      </c>
      <c r="C534" s="115" t="s">
        <v>135</v>
      </c>
      <c r="D534" s="116" t="s">
        <v>105</v>
      </c>
      <c r="E534" s="116" t="s">
        <v>23</v>
      </c>
      <c r="F534" s="116" t="s">
        <v>33</v>
      </c>
      <c r="G534" s="116"/>
      <c r="H534" s="139">
        <v>45088</v>
      </c>
      <c r="I534" s="139">
        <v>45088</v>
      </c>
      <c r="J534" s="113">
        <v>2</v>
      </c>
      <c r="K534" s="70">
        <v>1.32</v>
      </c>
      <c r="N534" s="71"/>
      <c r="T534" s="128"/>
      <c r="Z534" s="80"/>
      <c r="AA534" s="80"/>
      <c r="AB534" s="80"/>
      <c r="AH534" s="73">
        <v>2627.2</v>
      </c>
    </row>
    <row r="535" spans="1:38">
      <c r="A535" s="137">
        <v>534</v>
      </c>
      <c r="B535" s="141">
        <v>2023</v>
      </c>
      <c r="C535" s="115" t="s">
        <v>135</v>
      </c>
      <c r="D535" s="116" t="s">
        <v>105</v>
      </c>
      <c r="E535" s="116" t="s">
        <v>15</v>
      </c>
      <c r="F535" s="116" t="s">
        <v>35</v>
      </c>
      <c r="G535" s="116" t="s">
        <v>46</v>
      </c>
      <c r="H535" s="139">
        <v>45096</v>
      </c>
      <c r="I535" s="139">
        <v>45096</v>
      </c>
      <c r="J535" s="113"/>
      <c r="K535" s="70">
        <v>1.32</v>
      </c>
      <c r="L535" s="71">
        <f>N535*K535</f>
        <v>30.360000000000003</v>
      </c>
      <c r="N535" s="71">
        <v>23</v>
      </c>
      <c r="O535" s="48" t="s">
        <v>5</v>
      </c>
      <c r="P535" s="128">
        <v>70.099999999999994</v>
      </c>
      <c r="Q535" s="128">
        <v>45.3</v>
      </c>
      <c r="S535" s="128">
        <v>379.4</v>
      </c>
      <c r="T535" s="73">
        <v>5.41</v>
      </c>
      <c r="U535" s="72">
        <f>N535*1000*X535/100</f>
        <v>759</v>
      </c>
      <c r="V535" s="72">
        <f>S535*U535/1000</f>
        <v>287.96459999999996</v>
      </c>
      <c r="W535" s="72">
        <f>P535*U535/1000</f>
        <v>53.205899999999993</v>
      </c>
      <c r="X535" s="128">
        <v>3.3</v>
      </c>
      <c r="Z535" s="73">
        <v>30.93</v>
      </c>
      <c r="AA535" s="73">
        <v>76.48</v>
      </c>
      <c r="AB535" s="73">
        <v>8.52</v>
      </c>
      <c r="AH535" s="142"/>
    </row>
    <row r="536" spans="1:38">
      <c r="A536" s="137">
        <v>535</v>
      </c>
      <c r="B536" s="141">
        <v>2023</v>
      </c>
      <c r="C536" s="115" t="s">
        <v>135</v>
      </c>
      <c r="D536" s="116" t="s">
        <v>105</v>
      </c>
      <c r="E536" s="116" t="s">
        <v>23</v>
      </c>
      <c r="F536" s="116" t="s">
        <v>33</v>
      </c>
      <c r="G536" s="116"/>
      <c r="H536" s="139">
        <v>45120</v>
      </c>
      <c r="I536" s="139">
        <v>45120</v>
      </c>
      <c r="J536" s="113">
        <v>3</v>
      </c>
      <c r="K536" s="70">
        <v>1.32</v>
      </c>
      <c r="N536" s="71"/>
      <c r="T536" s="128"/>
      <c r="Z536" s="80"/>
      <c r="AA536" s="80"/>
      <c r="AB536" s="80"/>
      <c r="AH536" s="73">
        <v>2169</v>
      </c>
    </row>
    <row r="537" spans="1:38">
      <c r="A537" s="137">
        <v>536</v>
      </c>
      <c r="B537" s="141">
        <v>2023</v>
      </c>
      <c r="C537" s="115" t="s">
        <v>135</v>
      </c>
      <c r="D537" s="116" t="s">
        <v>105</v>
      </c>
      <c r="E537" s="116" t="s">
        <v>23</v>
      </c>
      <c r="F537" s="116" t="s">
        <v>33</v>
      </c>
      <c r="G537" s="116"/>
      <c r="H537" s="139">
        <v>45147</v>
      </c>
      <c r="I537" s="139">
        <v>45147</v>
      </c>
      <c r="J537" s="113">
        <v>4</v>
      </c>
      <c r="K537" s="70">
        <v>1.32</v>
      </c>
      <c r="N537" s="71"/>
      <c r="T537" s="128"/>
      <c r="Z537" s="80"/>
      <c r="AA537" s="80"/>
      <c r="AB537" s="80"/>
      <c r="AH537" s="73">
        <v>1536.4</v>
      </c>
    </row>
    <row r="538" spans="1:38">
      <c r="A538" s="137">
        <v>537</v>
      </c>
      <c r="B538" s="141">
        <v>2023</v>
      </c>
      <c r="C538" s="115" t="s">
        <v>135</v>
      </c>
      <c r="D538" s="116" t="s">
        <v>105</v>
      </c>
      <c r="E538" s="116" t="s">
        <v>15</v>
      </c>
      <c r="F538" s="116" t="s">
        <v>35</v>
      </c>
      <c r="G538" s="116" t="s">
        <v>46</v>
      </c>
      <c r="H538" s="139">
        <v>45162</v>
      </c>
      <c r="I538" s="139">
        <v>45162</v>
      </c>
      <c r="J538" s="113"/>
      <c r="K538" s="70">
        <v>1.32</v>
      </c>
      <c r="L538" s="71">
        <f>N538*K538</f>
        <v>32.155200000000001</v>
      </c>
      <c r="N538" s="71">
        <v>24.36</v>
      </c>
      <c r="O538" s="48" t="s">
        <v>5</v>
      </c>
      <c r="P538" s="128">
        <v>65.8</v>
      </c>
      <c r="Q538" s="128">
        <v>39.9</v>
      </c>
      <c r="S538" s="128">
        <v>377.7</v>
      </c>
      <c r="T538" s="73">
        <v>5.74</v>
      </c>
      <c r="U538" s="72">
        <f>N538*1000*X538/100</f>
        <v>901.32</v>
      </c>
      <c r="V538" s="72">
        <f>S538*U538/1000</f>
        <v>340.42856399999999</v>
      </c>
      <c r="W538" s="72">
        <f>P538*U538/1000</f>
        <v>59.306855999999996</v>
      </c>
      <c r="X538" s="128">
        <v>3.7</v>
      </c>
      <c r="Z538" s="73">
        <v>29.96</v>
      </c>
      <c r="AA538" s="73">
        <v>88.19</v>
      </c>
      <c r="AB538" s="73">
        <v>7.8</v>
      </c>
      <c r="AH538" s="142"/>
    </row>
    <row r="539" spans="1:38">
      <c r="A539" s="137">
        <v>538</v>
      </c>
      <c r="B539" s="141">
        <v>2023</v>
      </c>
      <c r="C539" s="115" t="s">
        <v>135</v>
      </c>
      <c r="D539" s="116" t="s">
        <v>105</v>
      </c>
      <c r="E539" s="116" t="s">
        <v>23</v>
      </c>
      <c r="F539" s="116" t="s">
        <v>33</v>
      </c>
      <c r="G539" s="116"/>
      <c r="H539" s="139">
        <v>45194</v>
      </c>
      <c r="I539" s="139">
        <v>45194</v>
      </c>
      <c r="J539" s="113">
        <v>5</v>
      </c>
      <c r="K539" s="70">
        <v>1.32</v>
      </c>
      <c r="N539" s="71"/>
      <c r="T539" s="128"/>
      <c r="Z539" s="80"/>
      <c r="AA539" s="80"/>
      <c r="AB539" s="80"/>
      <c r="AH539" s="73">
        <v>2812.4</v>
      </c>
    </row>
    <row r="540" spans="1:38">
      <c r="A540" s="137">
        <v>539</v>
      </c>
      <c r="B540" s="141">
        <v>2023</v>
      </c>
      <c r="C540" s="115" t="s">
        <v>135</v>
      </c>
      <c r="D540" s="116" t="s">
        <v>105</v>
      </c>
      <c r="E540" s="116" t="s">
        <v>15</v>
      </c>
      <c r="F540" s="116" t="s">
        <v>35</v>
      </c>
      <c r="G540" s="116" t="s">
        <v>46</v>
      </c>
      <c r="H540" s="139">
        <v>45198</v>
      </c>
      <c r="I540" s="139">
        <v>45198</v>
      </c>
      <c r="J540" s="113"/>
      <c r="K540" s="70">
        <v>1.32</v>
      </c>
      <c r="L540" s="71">
        <f>N540*K540</f>
        <v>32.181600000000003</v>
      </c>
      <c r="N540" s="71">
        <v>24.38</v>
      </c>
      <c r="O540" s="48" t="s">
        <v>5</v>
      </c>
      <c r="P540" s="128">
        <v>65.900000000000006</v>
      </c>
      <c r="Q540" s="128">
        <v>37.1</v>
      </c>
      <c r="S540" s="128">
        <v>364.3</v>
      </c>
      <c r="T540" s="73">
        <v>5.53</v>
      </c>
      <c r="U540" s="72">
        <f>N540*1000*X540/100</f>
        <v>828.92</v>
      </c>
      <c r="V540" s="72">
        <f>S540*U540/1000</f>
        <v>301.97555599999998</v>
      </c>
      <c r="W540" s="72">
        <f>P540*U540/1000</f>
        <v>54.625827999999998</v>
      </c>
      <c r="X540" s="128">
        <v>3.4</v>
      </c>
      <c r="Z540" s="73">
        <v>26.87</v>
      </c>
      <c r="AA540" s="73">
        <v>74.39</v>
      </c>
      <c r="AB540" s="73">
        <v>6.88</v>
      </c>
      <c r="AH540" s="142"/>
    </row>
    <row r="541" spans="1:38">
      <c r="A541" s="137">
        <v>540</v>
      </c>
      <c r="B541" s="141">
        <v>2023</v>
      </c>
      <c r="C541" s="115" t="s">
        <v>135</v>
      </c>
      <c r="D541" s="116" t="s">
        <v>105</v>
      </c>
      <c r="E541" s="116" t="s">
        <v>23</v>
      </c>
      <c r="F541" s="116" t="s">
        <v>33</v>
      </c>
      <c r="G541" s="116"/>
      <c r="H541" s="139">
        <v>45227</v>
      </c>
      <c r="I541" s="139">
        <v>45229</v>
      </c>
      <c r="J541" s="113">
        <v>6</v>
      </c>
      <c r="K541" s="70">
        <v>1.32</v>
      </c>
      <c r="N541" s="71"/>
      <c r="T541" s="128"/>
      <c r="Z541" s="80"/>
      <c r="AA541" s="80"/>
      <c r="AB541" s="80"/>
      <c r="AH541" s="73">
        <v>985.0999999999998</v>
      </c>
    </row>
    <row r="542" spans="1:38">
      <c r="A542" s="137">
        <v>541</v>
      </c>
      <c r="B542" s="141">
        <v>2023</v>
      </c>
      <c r="C542" s="118" t="s">
        <v>136</v>
      </c>
      <c r="D542" s="116" t="s">
        <v>105</v>
      </c>
      <c r="E542" s="116" t="s">
        <v>15</v>
      </c>
      <c r="F542" s="116" t="s">
        <v>35</v>
      </c>
      <c r="G542" s="116" t="s">
        <v>46</v>
      </c>
      <c r="H542" s="139">
        <v>45006</v>
      </c>
      <c r="I542" s="139">
        <v>45006</v>
      </c>
      <c r="J542" s="113"/>
      <c r="K542" s="70">
        <v>2.61</v>
      </c>
      <c r="L542" s="71">
        <f>N542*K542</f>
        <v>86.286600000000007</v>
      </c>
      <c r="N542" s="71">
        <v>33.06</v>
      </c>
      <c r="O542" s="48" t="s">
        <v>5</v>
      </c>
      <c r="P542" s="128">
        <v>86.7</v>
      </c>
      <c r="Q542" s="128">
        <v>48.3</v>
      </c>
      <c r="S542" s="128">
        <v>376</v>
      </c>
      <c r="T542" s="73">
        <v>4.34</v>
      </c>
      <c r="U542" s="72">
        <f>N542*1000*X542/100</f>
        <v>694.26</v>
      </c>
      <c r="V542" s="72">
        <f>S542*U542/1000</f>
        <v>261.04176000000001</v>
      </c>
      <c r="W542" s="72">
        <f>P542*U542/1000</f>
        <v>60.192342000000004</v>
      </c>
      <c r="X542" s="128">
        <v>2.1</v>
      </c>
      <c r="Z542" s="73">
        <v>34.83</v>
      </c>
      <c r="AA542" s="73">
        <v>78.959999999999994</v>
      </c>
      <c r="AB542" s="73">
        <v>8.8699999999999992</v>
      </c>
      <c r="AH542" s="142"/>
    </row>
    <row r="543" spans="1:38">
      <c r="A543" s="137">
        <v>542</v>
      </c>
      <c r="B543" s="141">
        <v>2023</v>
      </c>
      <c r="C543" s="118" t="s">
        <v>136</v>
      </c>
      <c r="D543" s="116" t="s">
        <v>105</v>
      </c>
      <c r="E543" s="116" t="s">
        <v>24</v>
      </c>
      <c r="F543" s="116" t="s">
        <v>31</v>
      </c>
      <c r="G543" s="116"/>
      <c r="H543" s="139">
        <v>45015</v>
      </c>
      <c r="I543" s="139">
        <v>45015</v>
      </c>
      <c r="J543" s="113"/>
      <c r="K543" s="70">
        <v>2.61</v>
      </c>
      <c r="N543" s="71"/>
      <c r="T543" s="128"/>
      <c r="Z543" s="80"/>
      <c r="AA543" s="80"/>
      <c r="AB543" s="80"/>
      <c r="AH543" s="142"/>
    </row>
    <row r="544" spans="1:38">
      <c r="A544" s="137">
        <v>543</v>
      </c>
      <c r="B544" s="141">
        <v>2023</v>
      </c>
      <c r="C544" s="118" t="s">
        <v>136</v>
      </c>
      <c r="D544" s="116" t="s">
        <v>105</v>
      </c>
      <c r="E544" s="116" t="s">
        <v>23</v>
      </c>
      <c r="F544" s="116" t="s">
        <v>33</v>
      </c>
      <c r="G544" s="116"/>
      <c r="H544" s="139">
        <v>45050</v>
      </c>
      <c r="I544" s="139">
        <v>45050</v>
      </c>
      <c r="J544" s="113">
        <v>1</v>
      </c>
      <c r="K544" s="70">
        <v>2.61</v>
      </c>
      <c r="N544" s="71"/>
      <c r="T544" s="128"/>
      <c r="Z544" s="80"/>
      <c r="AA544" s="80"/>
      <c r="AB544" s="80"/>
      <c r="AH544" s="73">
        <v>4797.8</v>
      </c>
    </row>
    <row r="545" spans="1:34">
      <c r="A545" s="137">
        <v>544</v>
      </c>
      <c r="B545" s="141">
        <v>2023</v>
      </c>
      <c r="C545" s="118" t="s">
        <v>136</v>
      </c>
      <c r="D545" s="116" t="s">
        <v>105</v>
      </c>
      <c r="E545" s="116" t="s">
        <v>15</v>
      </c>
      <c r="F545" s="116" t="s">
        <v>35</v>
      </c>
      <c r="G545" s="116" t="s">
        <v>46</v>
      </c>
      <c r="H545" s="139">
        <v>45071</v>
      </c>
      <c r="I545" s="139">
        <v>45071</v>
      </c>
      <c r="J545" s="113"/>
      <c r="K545" s="70">
        <v>2.61</v>
      </c>
      <c r="L545" s="71">
        <f>N545*K545</f>
        <v>66.816000000000003</v>
      </c>
      <c r="N545" s="71">
        <v>25.6</v>
      </c>
      <c r="O545" s="48" t="s">
        <v>5</v>
      </c>
      <c r="P545" s="128">
        <v>67.2</v>
      </c>
      <c r="Q545" s="128">
        <v>40.200000000000003</v>
      </c>
      <c r="S545" s="128">
        <v>376.3</v>
      </c>
      <c r="T545" s="73">
        <v>5.6</v>
      </c>
      <c r="U545" s="72">
        <f>N545*1000*X545/100</f>
        <v>947.2</v>
      </c>
      <c r="V545" s="72">
        <f>S545*U545/1000</f>
        <v>356.43136000000004</v>
      </c>
      <c r="W545" s="72">
        <f>P545*U545/1000</f>
        <v>63.651840000000007</v>
      </c>
      <c r="X545" s="128">
        <v>3.7</v>
      </c>
      <c r="Z545" s="73">
        <v>32.6</v>
      </c>
      <c r="AA545" s="73">
        <v>37.25</v>
      </c>
      <c r="AB545" s="73">
        <v>8.86</v>
      </c>
      <c r="AH545" s="142"/>
    </row>
    <row r="546" spans="1:34">
      <c r="A546" s="137">
        <v>545</v>
      </c>
      <c r="B546" s="141">
        <v>2023</v>
      </c>
      <c r="C546" s="118" t="s">
        <v>136</v>
      </c>
      <c r="D546" s="116" t="s">
        <v>105</v>
      </c>
      <c r="E546" s="116" t="s">
        <v>23</v>
      </c>
      <c r="F546" s="116" t="s">
        <v>33</v>
      </c>
      <c r="G546" s="116"/>
      <c r="H546" s="139">
        <v>45088</v>
      </c>
      <c r="I546" s="139">
        <v>45088</v>
      </c>
      <c r="J546" s="113">
        <v>2</v>
      </c>
      <c r="K546" s="70">
        <v>2.61</v>
      </c>
      <c r="N546" s="71"/>
      <c r="T546" s="128"/>
      <c r="Z546" s="80"/>
      <c r="AA546" s="80"/>
      <c r="AB546" s="80"/>
      <c r="AH546" s="73">
        <v>2558.9999999999995</v>
      </c>
    </row>
    <row r="547" spans="1:34">
      <c r="A547" s="137">
        <v>546</v>
      </c>
      <c r="B547" s="141">
        <v>2023</v>
      </c>
      <c r="C547" s="118" t="s">
        <v>136</v>
      </c>
      <c r="D547" s="116" t="s">
        <v>105</v>
      </c>
      <c r="E547" s="116" t="s">
        <v>15</v>
      </c>
      <c r="F547" s="116" t="s">
        <v>35</v>
      </c>
      <c r="G547" s="116" t="s">
        <v>46</v>
      </c>
      <c r="H547" s="139">
        <v>45096</v>
      </c>
      <c r="I547" s="139">
        <v>45096</v>
      </c>
      <c r="J547" s="113"/>
      <c r="K547" s="70">
        <v>2.61</v>
      </c>
      <c r="L547" s="71">
        <f>N547*K547</f>
        <v>60.029999999999994</v>
      </c>
      <c r="N547" s="71">
        <v>23</v>
      </c>
      <c r="O547" s="48" t="s">
        <v>5</v>
      </c>
      <c r="P547" s="128">
        <v>70.099999999999994</v>
      </c>
      <c r="Q547" s="128">
        <v>45.3</v>
      </c>
      <c r="S547" s="128">
        <v>379.4</v>
      </c>
      <c r="T547" s="73">
        <v>5.41</v>
      </c>
      <c r="U547" s="72">
        <f>N547*1000*X547/100</f>
        <v>759</v>
      </c>
      <c r="V547" s="72">
        <f>S547*U547/1000</f>
        <v>287.96459999999996</v>
      </c>
      <c r="W547" s="72">
        <f>P547*U547/1000</f>
        <v>53.205899999999993</v>
      </c>
      <c r="X547" s="128">
        <v>3.3</v>
      </c>
      <c r="Z547" s="73">
        <v>30.93</v>
      </c>
      <c r="AA547" s="73">
        <v>76.48</v>
      </c>
      <c r="AB547" s="73">
        <v>8.52</v>
      </c>
      <c r="AH547" s="142"/>
    </row>
    <row r="548" spans="1:34">
      <c r="A548" s="137">
        <v>547</v>
      </c>
      <c r="B548" s="141">
        <v>2023</v>
      </c>
      <c r="C548" s="118" t="s">
        <v>136</v>
      </c>
      <c r="D548" s="116" t="s">
        <v>105</v>
      </c>
      <c r="E548" s="116" t="s">
        <v>23</v>
      </c>
      <c r="F548" s="116" t="s">
        <v>33</v>
      </c>
      <c r="G548" s="116"/>
      <c r="H548" s="139">
        <v>45120</v>
      </c>
      <c r="I548" s="139">
        <v>45120</v>
      </c>
      <c r="J548" s="113">
        <v>3</v>
      </c>
      <c r="K548" s="70">
        <v>2.61</v>
      </c>
      <c r="N548" s="71"/>
      <c r="T548" s="128"/>
      <c r="Z548" s="80"/>
      <c r="AA548" s="80"/>
      <c r="AB548" s="80"/>
      <c r="AH548" s="73">
        <v>1728.7999999999997</v>
      </c>
    </row>
    <row r="549" spans="1:34">
      <c r="A549" s="137">
        <v>548</v>
      </c>
      <c r="B549" s="141">
        <v>2023</v>
      </c>
      <c r="C549" s="118" t="s">
        <v>136</v>
      </c>
      <c r="D549" s="116" t="s">
        <v>105</v>
      </c>
      <c r="E549" s="116" t="s">
        <v>23</v>
      </c>
      <c r="F549" s="116" t="s">
        <v>33</v>
      </c>
      <c r="G549" s="116"/>
      <c r="H549" s="139">
        <v>45147</v>
      </c>
      <c r="I549" s="139">
        <v>45147</v>
      </c>
      <c r="J549" s="113">
        <v>4</v>
      </c>
      <c r="K549" s="70">
        <v>2.61</v>
      </c>
      <c r="N549" s="71"/>
      <c r="T549" s="128"/>
      <c r="Z549" s="80"/>
      <c r="AA549" s="80"/>
      <c r="AB549" s="80"/>
      <c r="AH549" s="73">
        <v>1551.2</v>
      </c>
    </row>
    <row r="550" spans="1:34">
      <c r="A550" s="137">
        <v>549</v>
      </c>
      <c r="B550" s="141">
        <v>2023</v>
      </c>
      <c r="C550" s="118" t="s">
        <v>136</v>
      </c>
      <c r="D550" s="116" t="s">
        <v>105</v>
      </c>
      <c r="E550" s="116" t="s">
        <v>15</v>
      </c>
      <c r="F550" s="116" t="s">
        <v>35</v>
      </c>
      <c r="G550" s="116" t="s">
        <v>46</v>
      </c>
      <c r="H550" s="139">
        <v>45162</v>
      </c>
      <c r="I550" s="139">
        <v>45162</v>
      </c>
      <c r="J550" s="113"/>
      <c r="K550" s="70">
        <v>2.61</v>
      </c>
      <c r="L550" s="71">
        <f>N550*K550</f>
        <v>63.579599999999992</v>
      </c>
      <c r="N550" s="71">
        <v>24.36</v>
      </c>
      <c r="O550" s="48" t="s">
        <v>5</v>
      </c>
      <c r="P550" s="128">
        <v>65.8</v>
      </c>
      <c r="Q550" s="128">
        <v>39.9</v>
      </c>
      <c r="S550" s="128">
        <v>377.7</v>
      </c>
      <c r="T550" s="73">
        <v>5.74</v>
      </c>
      <c r="U550" s="72">
        <f>N550*1000*X550/100</f>
        <v>901.32</v>
      </c>
      <c r="V550" s="72">
        <f>S550*U550/1000</f>
        <v>340.42856399999999</v>
      </c>
      <c r="W550" s="72">
        <f>P550*U550/1000</f>
        <v>59.306855999999996</v>
      </c>
      <c r="X550" s="128">
        <v>3.7</v>
      </c>
      <c r="Z550" s="73">
        <v>29.96</v>
      </c>
      <c r="AA550" s="73">
        <v>88.19</v>
      </c>
      <c r="AB550" s="73">
        <v>7.8</v>
      </c>
      <c r="AH550" s="142"/>
    </row>
    <row r="551" spans="1:34">
      <c r="A551" s="137">
        <v>550</v>
      </c>
      <c r="B551" s="141">
        <v>2023</v>
      </c>
      <c r="C551" s="118" t="s">
        <v>136</v>
      </c>
      <c r="D551" s="116" t="s">
        <v>105</v>
      </c>
      <c r="E551" s="116" t="s">
        <v>23</v>
      </c>
      <c r="F551" s="116" t="s">
        <v>33</v>
      </c>
      <c r="G551" s="116"/>
      <c r="H551" s="139">
        <v>45194</v>
      </c>
      <c r="I551" s="139">
        <v>45194</v>
      </c>
      <c r="J551" s="113">
        <v>5</v>
      </c>
      <c r="K551" s="70">
        <v>2.61</v>
      </c>
      <c r="N551" s="71"/>
      <c r="T551" s="128"/>
      <c r="Z551" s="80"/>
      <c r="AA551" s="80"/>
      <c r="AB551" s="80"/>
      <c r="AH551" s="73">
        <v>2282.4</v>
      </c>
    </row>
    <row r="552" spans="1:34">
      <c r="A552" s="137">
        <v>551</v>
      </c>
      <c r="B552" s="141">
        <v>2023</v>
      </c>
      <c r="C552" s="118" t="s">
        <v>136</v>
      </c>
      <c r="D552" s="116" t="s">
        <v>105</v>
      </c>
      <c r="E552" s="116" t="s">
        <v>15</v>
      </c>
      <c r="F552" s="116" t="s">
        <v>35</v>
      </c>
      <c r="G552" s="116" t="s">
        <v>46</v>
      </c>
      <c r="H552" s="139">
        <v>45198</v>
      </c>
      <c r="I552" s="139">
        <v>45198</v>
      </c>
      <c r="J552" s="113"/>
      <c r="K552" s="70">
        <v>2.61</v>
      </c>
      <c r="L552" s="71">
        <f>N552*K552</f>
        <v>63.631799999999991</v>
      </c>
      <c r="N552" s="71">
        <v>24.38</v>
      </c>
      <c r="O552" s="48" t="s">
        <v>5</v>
      </c>
      <c r="P552" s="128">
        <v>65.900000000000006</v>
      </c>
      <c r="Q552" s="128">
        <v>37.1</v>
      </c>
      <c r="S552" s="128">
        <v>364.3</v>
      </c>
      <c r="T552" s="73">
        <v>5.53</v>
      </c>
      <c r="U552" s="72">
        <f>N552*1000*X552/100</f>
        <v>828.92</v>
      </c>
      <c r="V552" s="72">
        <f>S552*U552/1000</f>
        <v>301.97555599999998</v>
      </c>
      <c r="W552" s="72">
        <f>P552*U552/1000</f>
        <v>54.625827999999998</v>
      </c>
      <c r="X552" s="128">
        <v>3.4</v>
      </c>
      <c r="Z552" s="73">
        <v>26.87</v>
      </c>
      <c r="AA552" s="73">
        <v>74.39</v>
      </c>
      <c r="AB552" s="73">
        <v>6.88</v>
      </c>
      <c r="AH552" s="142"/>
    </row>
    <row r="553" spans="1:34">
      <c r="A553" s="137">
        <v>552</v>
      </c>
      <c r="B553" s="141">
        <v>2023</v>
      </c>
      <c r="C553" s="118" t="s">
        <v>136</v>
      </c>
      <c r="D553" s="116" t="s">
        <v>105</v>
      </c>
      <c r="E553" s="116" t="s">
        <v>23</v>
      </c>
      <c r="F553" s="116" t="s">
        <v>33</v>
      </c>
      <c r="G553" s="116"/>
      <c r="H553" s="139">
        <v>45227</v>
      </c>
      <c r="I553" s="139">
        <v>45229</v>
      </c>
      <c r="J553" s="113">
        <v>6</v>
      </c>
      <c r="K553" s="70">
        <v>2.61</v>
      </c>
      <c r="N553" s="71"/>
      <c r="T553" s="128"/>
      <c r="Z553" s="80"/>
      <c r="AA553" s="80"/>
      <c r="AB553" s="80"/>
      <c r="AH553" s="73">
        <v>760.19999999999993</v>
      </c>
    </row>
    <row r="554" spans="1:34">
      <c r="A554" s="137">
        <v>553</v>
      </c>
      <c r="B554" s="143">
        <v>2024</v>
      </c>
      <c r="C554" s="115" t="s">
        <v>135</v>
      </c>
      <c r="D554" s="116" t="s">
        <v>105</v>
      </c>
      <c r="E554" s="116" t="s">
        <v>23</v>
      </c>
      <c r="F554" s="116" t="s">
        <v>27</v>
      </c>
      <c r="G554" s="116" t="s">
        <v>45</v>
      </c>
      <c r="H554" s="139">
        <v>45311</v>
      </c>
      <c r="I554" s="139">
        <v>45314</v>
      </c>
      <c r="J554" s="113">
        <v>1</v>
      </c>
      <c r="K554" s="70">
        <v>1.32</v>
      </c>
      <c r="L554" s="71">
        <f>130/(2.61+1.32)*K554</f>
        <v>43.66412213740459</v>
      </c>
      <c r="M554" s="86" t="s">
        <v>200</v>
      </c>
      <c r="N554" s="71">
        <f>L554/K554</f>
        <v>33.078880407124686</v>
      </c>
      <c r="O554" s="48" t="s">
        <v>64</v>
      </c>
      <c r="T554" s="128"/>
      <c r="Z554" s="80"/>
      <c r="AA554" s="80"/>
      <c r="AB554" s="80"/>
    </row>
    <row r="555" spans="1:34">
      <c r="A555" s="137">
        <v>554</v>
      </c>
      <c r="B555" s="143">
        <v>2024</v>
      </c>
      <c r="C555" s="115" t="s">
        <v>135</v>
      </c>
      <c r="D555" s="116" t="s">
        <v>105</v>
      </c>
      <c r="E555" s="116" t="s">
        <v>15</v>
      </c>
      <c r="F555" s="116" t="s">
        <v>35</v>
      </c>
      <c r="G555" s="116" t="s">
        <v>46</v>
      </c>
      <c r="H555" s="139">
        <v>45350</v>
      </c>
      <c r="I555" s="139">
        <v>45350</v>
      </c>
      <c r="J555" s="113"/>
      <c r="K555" s="70">
        <v>1.32</v>
      </c>
      <c r="L555" s="71">
        <f>N555*K555</f>
        <v>38.781599999999997</v>
      </c>
      <c r="N555" s="48">
        <v>29.38</v>
      </c>
      <c r="O555" s="48" t="s">
        <v>5</v>
      </c>
      <c r="P555" s="48">
        <v>52</v>
      </c>
      <c r="Q555" s="128">
        <v>33.1</v>
      </c>
      <c r="S555" s="128">
        <v>374.2</v>
      </c>
      <c r="T555" s="48">
        <v>7.2</v>
      </c>
      <c r="U555" s="72">
        <f>N555*1000*X555/100</f>
        <v>1175.2</v>
      </c>
      <c r="V555" s="72">
        <f>S555*U555/1000</f>
        <v>439.75984000000005</v>
      </c>
      <c r="W555" s="72">
        <f>P555*U555/1000</f>
        <v>61.110399999999998</v>
      </c>
      <c r="X555" s="48">
        <v>4</v>
      </c>
      <c r="Z555" s="48">
        <v>28.66</v>
      </c>
      <c r="AA555" s="48">
        <v>84.94</v>
      </c>
      <c r="AB555" s="48">
        <v>8.89</v>
      </c>
      <c r="AH555" s="142"/>
    </row>
    <row r="556" spans="1:34">
      <c r="A556" s="137">
        <v>555</v>
      </c>
      <c r="B556" s="143">
        <v>2024</v>
      </c>
      <c r="C556" s="115" t="s">
        <v>135</v>
      </c>
      <c r="D556" s="116" t="s">
        <v>105</v>
      </c>
      <c r="E556" s="116" t="s">
        <v>24</v>
      </c>
      <c r="F556" s="116" t="s">
        <v>31</v>
      </c>
      <c r="G556" s="116"/>
      <c r="H556" s="139">
        <v>45370</v>
      </c>
      <c r="I556" s="139">
        <v>45370</v>
      </c>
      <c r="J556" s="113"/>
      <c r="K556" s="70">
        <v>1.32</v>
      </c>
      <c r="N556" s="71"/>
      <c r="T556" s="128"/>
      <c r="Z556" s="80"/>
      <c r="AA556" s="80"/>
      <c r="AB556" s="80"/>
      <c r="AH556" s="142"/>
    </row>
    <row r="557" spans="1:34">
      <c r="A557" s="137">
        <v>556</v>
      </c>
      <c r="B557" s="143">
        <v>2024</v>
      </c>
      <c r="C557" s="115" t="s">
        <v>135</v>
      </c>
      <c r="D557" s="116" t="s">
        <v>105</v>
      </c>
      <c r="E557" s="116" t="s">
        <v>23</v>
      </c>
      <c r="F557" s="116" t="s">
        <v>33</v>
      </c>
      <c r="G557" s="116"/>
      <c r="H557" s="139">
        <v>45393</v>
      </c>
      <c r="I557" s="139">
        <v>45393</v>
      </c>
      <c r="J557" s="113">
        <v>2</v>
      </c>
      <c r="K557" s="70">
        <v>1.32</v>
      </c>
      <c r="N557" s="71"/>
      <c r="T557" s="128"/>
      <c r="Z557" s="80"/>
      <c r="AA557" s="80"/>
      <c r="AB557" s="80"/>
      <c r="AH557" s="73">
        <v>2386.6</v>
      </c>
    </row>
    <row r="558" spans="1:34">
      <c r="A558" s="137">
        <v>557</v>
      </c>
      <c r="B558" s="143">
        <v>2024</v>
      </c>
      <c r="C558" s="115" t="s">
        <v>135</v>
      </c>
      <c r="D558" s="116" t="s">
        <v>105</v>
      </c>
      <c r="E558" s="116" t="s">
        <v>15</v>
      </c>
      <c r="F558" s="116" t="s">
        <v>35</v>
      </c>
      <c r="G558" s="116" t="s">
        <v>46</v>
      </c>
      <c r="H558" s="139">
        <v>45414</v>
      </c>
      <c r="I558" s="139">
        <v>45414</v>
      </c>
      <c r="J558" s="113"/>
      <c r="K558" s="70">
        <v>1.32</v>
      </c>
      <c r="L558" s="71">
        <f>N558*K558</f>
        <v>30.73884</v>
      </c>
      <c r="N558" s="48">
        <v>23.286999999999999</v>
      </c>
      <c r="O558" s="48" t="s">
        <v>5</v>
      </c>
      <c r="P558" s="48">
        <v>76.900000000000006</v>
      </c>
      <c r="Q558" s="48">
        <v>24.8</v>
      </c>
      <c r="S558" s="48">
        <v>374.4</v>
      </c>
      <c r="T558" s="48">
        <v>4.87</v>
      </c>
      <c r="U558" s="72">
        <f>N558*1000*X558/100</f>
        <v>675.32299999999998</v>
      </c>
      <c r="V558" s="72">
        <f>S558*U558/1000</f>
        <v>252.84093119999997</v>
      </c>
      <c r="W558" s="72">
        <f>P558*U558/1000</f>
        <v>51.932338700000003</v>
      </c>
      <c r="X558" s="48">
        <v>2.9</v>
      </c>
      <c r="Z558" s="48">
        <v>30.91</v>
      </c>
      <c r="AA558" s="48">
        <v>114.41</v>
      </c>
      <c r="AB558" s="48">
        <v>9.2799999999999994</v>
      </c>
      <c r="AH558" s="142"/>
    </row>
    <row r="559" spans="1:34">
      <c r="A559" s="137">
        <v>558</v>
      </c>
      <c r="B559" s="143">
        <v>2024</v>
      </c>
      <c r="C559" s="115" t="s">
        <v>135</v>
      </c>
      <c r="D559" s="116" t="s">
        <v>105</v>
      </c>
      <c r="E559" s="116" t="s">
        <v>23</v>
      </c>
      <c r="F559" s="116" t="s">
        <v>33</v>
      </c>
      <c r="G559" s="116"/>
      <c r="H559" s="139">
        <v>45454</v>
      </c>
      <c r="I559" s="139">
        <v>45462</v>
      </c>
      <c r="J559" s="113">
        <v>3</v>
      </c>
      <c r="K559" s="70">
        <v>1.32</v>
      </c>
      <c r="N559" s="71"/>
      <c r="T559" s="128"/>
      <c r="Z559" s="80"/>
      <c r="AA559" s="80"/>
      <c r="AB559" s="80"/>
      <c r="AH559" s="73">
        <v>4118.8</v>
      </c>
    </row>
    <row r="560" spans="1:34">
      <c r="A560" s="137">
        <v>559</v>
      </c>
      <c r="B560" s="143">
        <v>2024</v>
      </c>
      <c r="C560" s="115" t="s">
        <v>135</v>
      </c>
      <c r="D560" s="116" t="s">
        <v>105</v>
      </c>
      <c r="E560" s="116" t="s">
        <v>22</v>
      </c>
      <c r="F560" s="116" t="s">
        <v>28</v>
      </c>
      <c r="G560" s="116"/>
      <c r="H560" s="139">
        <v>45463</v>
      </c>
      <c r="I560" s="139">
        <v>45463</v>
      </c>
      <c r="J560" s="113"/>
      <c r="K560" s="70">
        <v>1.32</v>
      </c>
      <c r="N560" s="71"/>
      <c r="T560" s="128"/>
      <c r="Z560" s="80"/>
      <c r="AA560" s="80"/>
      <c r="AB560" s="80"/>
      <c r="AH560" s="142"/>
    </row>
    <row r="561" spans="1:34">
      <c r="A561" s="137">
        <v>560</v>
      </c>
      <c r="B561" s="143">
        <v>2024</v>
      </c>
      <c r="C561" s="115" t="s">
        <v>135</v>
      </c>
      <c r="D561" s="116" t="s">
        <v>105</v>
      </c>
      <c r="E561" s="116" t="s">
        <v>22</v>
      </c>
      <c r="F561" s="116" t="s">
        <v>40</v>
      </c>
      <c r="G561" s="116"/>
      <c r="H561" s="139">
        <v>45463</v>
      </c>
      <c r="I561" s="139">
        <v>45463</v>
      </c>
      <c r="J561" s="113"/>
      <c r="K561" s="70">
        <v>1.32</v>
      </c>
      <c r="N561" s="71"/>
      <c r="T561" s="128"/>
      <c r="Z561" s="80"/>
      <c r="AA561" s="80"/>
      <c r="AB561" s="80"/>
      <c r="AH561" s="142"/>
    </row>
    <row r="562" spans="1:34">
      <c r="A562" s="137">
        <v>561</v>
      </c>
      <c r="B562" s="143">
        <v>2024</v>
      </c>
      <c r="C562" s="115" t="s">
        <v>135</v>
      </c>
      <c r="D562" s="116" t="s">
        <v>105</v>
      </c>
      <c r="E562" s="116" t="s">
        <v>15</v>
      </c>
      <c r="F562" s="116" t="s">
        <v>35</v>
      </c>
      <c r="G562" s="116" t="s">
        <v>46</v>
      </c>
      <c r="H562" s="139">
        <v>45470</v>
      </c>
      <c r="I562" s="139">
        <v>45470</v>
      </c>
      <c r="J562" s="113"/>
      <c r="K562" s="70">
        <v>1.32</v>
      </c>
      <c r="L562" s="71">
        <f>N562*K562</f>
        <v>40.128</v>
      </c>
      <c r="N562" s="48">
        <v>30.4</v>
      </c>
      <c r="O562" s="48" t="s">
        <v>5</v>
      </c>
      <c r="P562" s="48">
        <v>59.3</v>
      </c>
      <c r="Q562" s="48">
        <v>32.4</v>
      </c>
      <c r="S562" s="48">
        <v>403.8</v>
      </c>
      <c r="T562" s="48">
        <v>6.81</v>
      </c>
      <c r="U562" s="72">
        <f>N562*1000*X562/100</f>
        <v>1124.8</v>
      </c>
      <c r="V562" s="72">
        <f>S562*U562/1000</f>
        <v>454.19423999999998</v>
      </c>
      <c r="W562" s="72">
        <f>P562*U562/1000</f>
        <v>66.700639999999993</v>
      </c>
      <c r="X562" s="48">
        <v>3.7</v>
      </c>
      <c r="Z562" s="48">
        <v>23.93</v>
      </c>
      <c r="AA562" s="48">
        <v>61.86</v>
      </c>
      <c r="AB562" s="48">
        <v>7.6</v>
      </c>
      <c r="AH562" s="142"/>
    </row>
    <row r="563" spans="1:34">
      <c r="A563" s="137">
        <v>562</v>
      </c>
      <c r="B563" s="143">
        <v>2024</v>
      </c>
      <c r="C563" s="115" t="s">
        <v>135</v>
      </c>
      <c r="D563" s="116" t="s">
        <v>105</v>
      </c>
      <c r="E563" s="116" t="s">
        <v>23</v>
      </c>
      <c r="F563" s="116" t="s">
        <v>33</v>
      </c>
      <c r="G563" s="116"/>
      <c r="H563" s="139">
        <v>45490</v>
      </c>
      <c r="I563" s="139">
        <v>45490</v>
      </c>
      <c r="J563" s="113">
        <v>4</v>
      </c>
      <c r="K563" s="70">
        <v>1.32</v>
      </c>
      <c r="N563" s="71"/>
      <c r="T563" s="128"/>
      <c r="Z563" s="80"/>
      <c r="AA563" s="80"/>
      <c r="AB563" s="80"/>
      <c r="AH563" s="73">
        <v>2666.6</v>
      </c>
    </row>
    <row r="564" spans="1:34">
      <c r="A564" s="137">
        <v>563</v>
      </c>
      <c r="B564" s="143">
        <v>2024</v>
      </c>
      <c r="C564" s="115" t="s">
        <v>135</v>
      </c>
      <c r="D564" s="116" t="s">
        <v>105</v>
      </c>
      <c r="E564" s="116" t="s">
        <v>15</v>
      </c>
      <c r="F564" s="116" t="s">
        <v>35</v>
      </c>
      <c r="G564" s="116" t="s">
        <v>46</v>
      </c>
      <c r="H564" s="139">
        <v>45511</v>
      </c>
      <c r="I564" s="139">
        <v>45511</v>
      </c>
      <c r="J564" s="113"/>
      <c r="K564" s="70">
        <v>1.32</v>
      </c>
      <c r="L564" s="71">
        <f>N564*K564</f>
        <v>33.396000000000001</v>
      </c>
      <c r="N564" s="48">
        <v>25.3</v>
      </c>
      <c r="O564" s="48" t="s">
        <v>5</v>
      </c>
      <c r="P564" s="48">
        <v>61.8</v>
      </c>
      <c r="Q564" s="48">
        <v>34.700000000000003</v>
      </c>
      <c r="S564" s="48">
        <v>384.8</v>
      </c>
      <c r="T564" s="48">
        <v>6.23</v>
      </c>
      <c r="U564" s="72">
        <f>N564*1000*X564/100</f>
        <v>961.4</v>
      </c>
      <c r="V564" s="72">
        <f>S564*U564/1000</f>
        <v>369.94672000000003</v>
      </c>
      <c r="W564" s="72">
        <f>P564*U564/1000</f>
        <v>59.414519999999996</v>
      </c>
      <c r="X564" s="48">
        <v>3.8</v>
      </c>
      <c r="Z564" s="48">
        <v>27.92</v>
      </c>
      <c r="AA564" s="48">
        <v>56.78</v>
      </c>
      <c r="AB564" s="48">
        <v>8.6999999999999993</v>
      </c>
      <c r="AH564" s="142"/>
    </row>
    <row r="565" spans="1:34">
      <c r="A565" s="137">
        <v>564</v>
      </c>
      <c r="B565" s="143">
        <v>2024</v>
      </c>
      <c r="C565" s="115" t="s">
        <v>135</v>
      </c>
      <c r="D565" s="116" t="s">
        <v>105</v>
      </c>
      <c r="E565" s="116" t="s">
        <v>23</v>
      </c>
      <c r="F565" s="116" t="s">
        <v>33</v>
      </c>
      <c r="G565" s="116"/>
      <c r="H565" s="139">
        <v>45526</v>
      </c>
      <c r="I565" s="139">
        <v>45526</v>
      </c>
      <c r="J565" s="113">
        <v>5</v>
      </c>
      <c r="K565" s="70">
        <v>1.32</v>
      </c>
      <c r="N565" s="71"/>
      <c r="T565" s="128"/>
      <c r="Z565" s="80"/>
      <c r="AA565" s="80"/>
      <c r="AB565" s="80"/>
      <c r="AH565" s="73">
        <v>1868.4</v>
      </c>
    </row>
    <row r="566" spans="1:34">
      <c r="A566" s="137">
        <v>565</v>
      </c>
      <c r="B566" s="143">
        <v>2024</v>
      </c>
      <c r="C566" s="115" t="s">
        <v>135</v>
      </c>
      <c r="D566" s="116" t="s">
        <v>105</v>
      </c>
      <c r="E566" s="116" t="s">
        <v>15</v>
      </c>
      <c r="F566" s="116" t="s">
        <v>35</v>
      </c>
      <c r="G566" s="116" t="s">
        <v>46</v>
      </c>
      <c r="H566" s="139">
        <v>45531</v>
      </c>
      <c r="I566" s="139">
        <v>45531</v>
      </c>
      <c r="J566" s="113"/>
      <c r="K566" s="70">
        <v>1.32</v>
      </c>
      <c r="L566" s="71">
        <f>N566*K566</f>
        <v>41.0916</v>
      </c>
      <c r="N566" s="48">
        <v>31.13</v>
      </c>
      <c r="O566" s="48" t="s">
        <v>5</v>
      </c>
      <c r="P566" s="48">
        <v>68.5</v>
      </c>
      <c r="Q566" s="48">
        <v>37.5</v>
      </c>
      <c r="S566" s="48">
        <v>377.7</v>
      </c>
      <c r="T566" s="48">
        <v>5.51</v>
      </c>
      <c r="U566" s="72">
        <f>N566*1000*X566/100</f>
        <v>1089.55</v>
      </c>
      <c r="V566" s="72">
        <f>S566*U566/1000</f>
        <v>411.52303499999999</v>
      </c>
      <c r="W566" s="72">
        <f>P566*U566/1000</f>
        <v>74.634174999999999</v>
      </c>
      <c r="X566" s="48">
        <v>3.5</v>
      </c>
      <c r="Z566" s="48">
        <v>30.71</v>
      </c>
      <c r="AA566" s="48">
        <v>86.64</v>
      </c>
      <c r="AB566" s="48">
        <v>8.8699999999999992</v>
      </c>
      <c r="AH566" s="142"/>
    </row>
    <row r="567" spans="1:34">
      <c r="A567" s="137">
        <v>566</v>
      </c>
      <c r="B567" s="143">
        <v>2024</v>
      </c>
      <c r="C567" s="115" t="s">
        <v>135</v>
      </c>
      <c r="D567" s="116" t="s">
        <v>105</v>
      </c>
      <c r="E567" s="116" t="s">
        <v>23</v>
      </c>
      <c r="F567" s="116" t="s">
        <v>27</v>
      </c>
      <c r="G567" s="116" t="s">
        <v>45</v>
      </c>
      <c r="H567" s="139">
        <v>45604</v>
      </c>
      <c r="I567" s="139">
        <v>45615</v>
      </c>
      <c r="J567" s="113">
        <v>6</v>
      </c>
      <c r="K567" s="70">
        <v>1.32</v>
      </c>
      <c r="L567" s="71">
        <f>254/(2.61+1.32)*K567</f>
        <v>85.312977099236647</v>
      </c>
      <c r="M567" s="86" t="s">
        <v>201</v>
      </c>
      <c r="N567" s="71">
        <f>L567/K567</f>
        <v>64.631043256997458</v>
      </c>
      <c r="O567" s="48" t="s">
        <v>64</v>
      </c>
      <c r="T567" s="128"/>
      <c r="Z567" s="80"/>
      <c r="AA567" s="80"/>
      <c r="AB567" s="80"/>
      <c r="AH567" s="73">
        <v>1486.6</v>
      </c>
    </row>
    <row r="568" spans="1:34">
      <c r="A568" s="137">
        <v>567</v>
      </c>
      <c r="B568" s="143">
        <v>2024</v>
      </c>
      <c r="C568" s="118" t="s">
        <v>136</v>
      </c>
      <c r="D568" s="116" t="s">
        <v>105</v>
      </c>
      <c r="E568" s="116" t="s">
        <v>23</v>
      </c>
      <c r="F568" s="116" t="s">
        <v>27</v>
      </c>
      <c r="G568" s="116" t="s">
        <v>45</v>
      </c>
      <c r="H568" s="139">
        <v>45311</v>
      </c>
      <c r="I568" s="139">
        <v>45314</v>
      </c>
      <c r="J568" s="113">
        <v>1</v>
      </c>
      <c r="K568" s="70">
        <v>2.61</v>
      </c>
      <c r="L568" s="71">
        <f>130/(2.61+1.32)*K568</f>
        <v>86.335877862595424</v>
      </c>
      <c r="M568" s="86" t="s">
        <v>200</v>
      </c>
      <c r="N568" s="71">
        <f>L568/K568</f>
        <v>33.078880407124686</v>
      </c>
      <c r="O568" s="48" t="s">
        <v>64</v>
      </c>
      <c r="T568" s="128"/>
      <c r="Z568" s="80"/>
      <c r="AA568" s="80"/>
      <c r="AB568" s="80"/>
    </row>
    <row r="569" spans="1:34">
      <c r="A569" s="137">
        <v>568</v>
      </c>
      <c r="B569" s="143">
        <v>2024</v>
      </c>
      <c r="C569" s="118" t="s">
        <v>136</v>
      </c>
      <c r="D569" s="116" t="s">
        <v>105</v>
      </c>
      <c r="E569" s="116" t="s">
        <v>15</v>
      </c>
      <c r="F569" s="116" t="s">
        <v>35</v>
      </c>
      <c r="G569" s="116" t="s">
        <v>46</v>
      </c>
      <c r="H569" s="139">
        <v>45350</v>
      </c>
      <c r="I569" s="139">
        <v>45350</v>
      </c>
      <c r="J569" s="113"/>
      <c r="K569" s="70">
        <v>2.61</v>
      </c>
      <c r="L569" s="71">
        <f>N569*K569</f>
        <v>76.681799999999996</v>
      </c>
      <c r="N569" s="48">
        <v>29.38</v>
      </c>
      <c r="O569" s="48" t="s">
        <v>5</v>
      </c>
      <c r="P569" s="48">
        <v>52</v>
      </c>
      <c r="Q569" s="128">
        <v>33.1</v>
      </c>
      <c r="S569" s="128">
        <v>374.2</v>
      </c>
      <c r="T569" s="48">
        <v>7.2</v>
      </c>
      <c r="U569" s="72">
        <f>N569*1000*X569/100</f>
        <v>1175.2</v>
      </c>
      <c r="V569" s="72">
        <f>S569*U569/1000</f>
        <v>439.75984000000005</v>
      </c>
      <c r="W569" s="72">
        <f>P569*U569/1000</f>
        <v>61.110399999999998</v>
      </c>
      <c r="X569" s="48">
        <v>4</v>
      </c>
      <c r="Z569" s="48">
        <v>28.66</v>
      </c>
      <c r="AA569" s="48">
        <v>84.94</v>
      </c>
      <c r="AB569" s="48">
        <v>8.89</v>
      </c>
      <c r="AH569" s="142"/>
    </row>
    <row r="570" spans="1:34">
      <c r="A570" s="137">
        <v>569</v>
      </c>
      <c r="B570" s="143">
        <v>2024</v>
      </c>
      <c r="C570" s="118" t="s">
        <v>136</v>
      </c>
      <c r="D570" s="116" t="s">
        <v>105</v>
      </c>
      <c r="E570" s="116" t="s">
        <v>24</v>
      </c>
      <c r="F570" s="116" t="s">
        <v>31</v>
      </c>
      <c r="G570" s="116"/>
      <c r="H570" s="139">
        <v>45373</v>
      </c>
      <c r="I570" s="139">
        <v>45373</v>
      </c>
      <c r="J570" s="113"/>
      <c r="K570" s="70">
        <v>2.61</v>
      </c>
      <c r="N570" s="71"/>
      <c r="T570" s="128"/>
      <c r="Z570" s="80"/>
      <c r="AA570" s="80"/>
      <c r="AB570" s="80"/>
      <c r="AH570" s="142"/>
    </row>
    <row r="571" spans="1:34">
      <c r="A571" s="137">
        <v>570</v>
      </c>
      <c r="B571" s="143">
        <v>2024</v>
      </c>
      <c r="C571" s="118" t="s">
        <v>136</v>
      </c>
      <c r="D571" s="116" t="s">
        <v>105</v>
      </c>
      <c r="E571" s="116" t="s">
        <v>23</v>
      </c>
      <c r="F571" s="116" t="s">
        <v>33</v>
      </c>
      <c r="G571" s="116"/>
      <c r="H571" s="139">
        <v>45393</v>
      </c>
      <c r="I571" s="139">
        <v>45393</v>
      </c>
      <c r="J571" s="113">
        <v>2</v>
      </c>
      <c r="K571" s="70">
        <v>2.61</v>
      </c>
      <c r="N571" s="71"/>
      <c r="T571" s="128"/>
      <c r="Z571" s="80"/>
      <c r="AA571" s="80"/>
      <c r="AB571" s="80"/>
      <c r="AH571" s="73">
        <v>2914</v>
      </c>
    </row>
    <row r="572" spans="1:34">
      <c r="A572" s="137">
        <v>571</v>
      </c>
      <c r="B572" s="143">
        <v>2024</v>
      </c>
      <c r="C572" s="118" t="s">
        <v>136</v>
      </c>
      <c r="D572" s="116" t="s">
        <v>105</v>
      </c>
      <c r="E572" s="116" t="s">
        <v>15</v>
      </c>
      <c r="F572" s="116" t="s">
        <v>35</v>
      </c>
      <c r="G572" s="116" t="s">
        <v>46</v>
      </c>
      <c r="H572" s="139">
        <v>45414</v>
      </c>
      <c r="I572" s="139">
        <v>45414</v>
      </c>
      <c r="J572" s="113"/>
      <c r="K572" s="70">
        <v>2.61</v>
      </c>
      <c r="L572" s="71">
        <f>N572*K572</f>
        <v>60.779069999999997</v>
      </c>
      <c r="N572" s="48">
        <v>23.286999999999999</v>
      </c>
      <c r="O572" s="48" t="s">
        <v>5</v>
      </c>
      <c r="P572" s="48">
        <v>76.900000000000006</v>
      </c>
      <c r="Q572" s="48">
        <v>24.8</v>
      </c>
      <c r="S572" s="48">
        <v>374.4</v>
      </c>
      <c r="T572" s="48">
        <v>4.87</v>
      </c>
      <c r="U572" s="72">
        <f>N572*1000*X572/100</f>
        <v>675.32299999999998</v>
      </c>
      <c r="V572" s="72">
        <f>S572*U572/1000</f>
        <v>252.84093119999997</v>
      </c>
      <c r="W572" s="72">
        <f>P572*U572/1000</f>
        <v>51.932338700000003</v>
      </c>
      <c r="X572" s="48">
        <v>2.9</v>
      </c>
      <c r="Z572" s="48">
        <v>30.91</v>
      </c>
      <c r="AA572" s="48">
        <v>114.41</v>
      </c>
      <c r="AB572" s="48">
        <v>9.2799999999999994</v>
      </c>
      <c r="AH572" s="142"/>
    </row>
    <row r="573" spans="1:34">
      <c r="A573" s="137">
        <v>572</v>
      </c>
      <c r="B573" s="143">
        <v>2024</v>
      </c>
      <c r="C573" s="118" t="s">
        <v>136</v>
      </c>
      <c r="D573" s="116" t="s">
        <v>105</v>
      </c>
      <c r="E573" s="116" t="s">
        <v>23</v>
      </c>
      <c r="F573" s="116" t="s">
        <v>33</v>
      </c>
      <c r="G573" s="116"/>
      <c r="H573" s="139">
        <v>45454</v>
      </c>
      <c r="I573" s="139">
        <v>45462</v>
      </c>
      <c r="J573" s="113">
        <v>3</v>
      </c>
      <c r="K573" s="70">
        <v>2.61</v>
      </c>
      <c r="N573" s="71"/>
      <c r="T573" s="128"/>
      <c r="Z573" s="80"/>
      <c r="AA573" s="80"/>
      <c r="AB573" s="80"/>
      <c r="AH573" s="73">
        <v>3826.6</v>
      </c>
    </row>
    <row r="574" spans="1:34">
      <c r="A574" s="137">
        <v>573</v>
      </c>
      <c r="B574" s="143">
        <v>2024</v>
      </c>
      <c r="C574" s="118" t="s">
        <v>136</v>
      </c>
      <c r="D574" s="116" t="s">
        <v>105</v>
      </c>
      <c r="E574" s="116" t="s">
        <v>22</v>
      </c>
      <c r="F574" s="116" t="s">
        <v>28</v>
      </c>
      <c r="G574" s="116"/>
      <c r="H574" s="139">
        <v>45463</v>
      </c>
      <c r="I574" s="139">
        <v>45463</v>
      </c>
      <c r="J574" s="113"/>
      <c r="K574" s="70">
        <v>2.61</v>
      </c>
      <c r="N574" s="71"/>
      <c r="T574" s="128"/>
      <c r="Z574" s="80"/>
      <c r="AA574" s="80"/>
      <c r="AB574" s="80"/>
      <c r="AH574" s="142"/>
    </row>
    <row r="575" spans="1:34">
      <c r="A575" s="137">
        <v>574</v>
      </c>
      <c r="B575" s="143">
        <v>2024</v>
      </c>
      <c r="C575" s="118" t="s">
        <v>136</v>
      </c>
      <c r="D575" s="116" t="s">
        <v>105</v>
      </c>
      <c r="E575" s="116" t="s">
        <v>22</v>
      </c>
      <c r="F575" s="116" t="s">
        <v>40</v>
      </c>
      <c r="G575" s="116"/>
      <c r="H575" s="139">
        <v>45463</v>
      </c>
      <c r="I575" s="139">
        <v>45463</v>
      </c>
      <c r="J575" s="113"/>
      <c r="K575" s="70">
        <v>2.61</v>
      </c>
      <c r="N575" s="71"/>
      <c r="T575" s="128"/>
      <c r="Z575" s="80"/>
      <c r="AA575" s="80"/>
      <c r="AB575" s="80"/>
      <c r="AH575" s="142"/>
    </row>
    <row r="576" spans="1:34">
      <c r="A576" s="137">
        <v>575</v>
      </c>
      <c r="B576" s="143">
        <v>2024</v>
      </c>
      <c r="C576" s="118" t="s">
        <v>136</v>
      </c>
      <c r="D576" s="116" t="s">
        <v>105</v>
      </c>
      <c r="E576" s="116" t="s">
        <v>15</v>
      </c>
      <c r="F576" s="116" t="s">
        <v>35</v>
      </c>
      <c r="G576" s="116" t="s">
        <v>46</v>
      </c>
      <c r="H576" s="139">
        <v>45470</v>
      </c>
      <c r="I576" s="139">
        <v>45470</v>
      </c>
      <c r="J576" s="113"/>
      <c r="K576" s="70">
        <v>2.61</v>
      </c>
      <c r="L576" s="71">
        <f>N576*K576</f>
        <v>79.343999999999994</v>
      </c>
      <c r="N576" s="48">
        <v>30.4</v>
      </c>
      <c r="O576" s="48" t="s">
        <v>5</v>
      </c>
      <c r="P576" s="48">
        <v>59.3</v>
      </c>
      <c r="Q576" s="48">
        <v>32.4</v>
      </c>
      <c r="S576" s="48">
        <v>403.8</v>
      </c>
      <c r="T576" s="48">
        <v>6.81</v>
      </c>
      <c r="U576" s="72">
        <f>N576*1000*X576/100</f>
        <v>1124.8</v>
      </c>
      <c r="V576" s="72">
        <f>S576*U576/1000</f>
        <v>454.19423999999998</v>
      </c>
      <c r="W576" s="72">
        <f>P576*U576/1000</f>
        <v>66.700639999999993</v>
      </c>
      <c r="X576" s="48">
        <v>3.7</v>
      </c>
      <c r="Z576" s="48">
        <v>23.93</v>
      </c>
      <c r="AA576" s="48">
        <v>61.86</v>
      </c>
      <c r="AB576" s="48">
        <v>7.6</v>
      </c>
      <c r="AH576" s="142"/>
    </row>
    <row r="577" spans="1:34">
      <c r="A577" s="137">
        <v>576</v>
      </c>
      <c r="B577" s="143">
        <v>2024</v>
      </c>
      <c r="C577" s="118" t="s">
        <v>136</v>
      </c>
      <c r="D577" s="116" t="s">
        <v>105</v>
      </c>
      <c r="E577" s="116" t="s">
        <v>23</v>
      </c>
      <c r="F577" s="116" t="s">
        <v>33</v>
      </c>
      <c r="G577" s="116"/>
      <c r="H577" s="139">
        <v>45490</v>
      </c>
      <c r="I577" s="139">
        <v>45490</v>
      </c>
      <c r="J577" s="113">
        <v>4</v>
      </c>
      <c r="K577" s="70">
        <v>2.61</v>
      </c>
      <c r="N577" s="71"/>
      <c r="T577" s="128"/>
      <c r="Z577" s="80"/>
      <c r="AA577" s="80"/>
      <c r="AB577" s="80"/>
      <c r="AH577" s="73">
        <v>2942.2</v>
      </c>
    </row>
    <row r="578" spans="1:34">
      <c r="A578" s="137">
        <v>577</v>
      </c>
      <c r="B578" s="143">
        <v>2024</v>
      </c>
      <c r="C578" s="118" t="s">
        <v>136</v>
      </c>
      <c r="D578" s="116" t="s">
        <v>105</v>
      </c>
      <c r="E578" s="116" t="s">
        <v>15</v>
      </c>
      <c r="F578" s="116" t="s">
        <v>35</v>
      </c>
      <c r="G578" s="116" t="s">
        <v>46</v>
      </c>
      <c r="H578" s="139">
        <v>45511</v>
      </c>
      <c r="I578" s="139">
        <v>45511</v>
      </c>
      <c r="J578" s="113"/>
      <c r="K578" s="70">
        <v>2.61</v>
      </c>
      <c r="L578" s="71">
        <f>N578*K578</f>
        <v>66.033000000000001</v>
      </c>
      <c r="N578" s="48">
        <v>25.3</v>
      </c>
      <c r="O578" s="48" t="s">
        <v>5</v>
      </c>
      <c r="P578" s="48">
        <v>61.8</v>
      </c>
      <c r="Q578" s="48">
        <v>34.700000000000003</v>
      </c>
      <c r="S578" s="48">
        <v>384.8</v>
      </c>
      <c r="T578" s="48">
        <v>6.23</v>
      </c>
      <c r="U578" s="72">
        <f>N578*1000*X578/100</f>
        <v>961.4</v>
      </c>
      <c r="V578" s="72">
        <f>S578*U578/1000</f>
        <v>369.94672000000003</v>
      </c>
      <c r="W578" s="72">
        <f>P578*U578/1000</f>
        <v>59.414519999999996</v>
      </c>
      <c r="X578" s="48">
        <v>3.8</v>
      </c>
      <c r="Z578" s="48">
        <v>27.92</v>
      </c>
      <c r="AA578" s="48">
        <v>56.78</v>
      </c>
      <c r="AB578" s="48">
        <v>8.6999999999999993</v>
      </c>
      <c r="AH578" s="142"/>
    </row>
    <row r="579" spans="1:34">
      <c r="A579" s="137">
        <v>578</v>
      </c>
      <c r="B579" s="143">
        <v>2024</v>
      </c>
      <c r="C579" s="118" t="s">
        <v>136</v>
      </c>
      <c r="D579" s="116" t="s">
        <v>105</v>
      </c>
      <c r="E579" s="116" t="s">
        <v>23</v>
      </c>
      <c r="F579" s="116" t="s">
        <v>33</v>
      </c>
      <c r="G579" s="116"/>
      <c r="H579" s="139">
        <v>45526</v>
      </c>
      <c r="I579" s="139">
        <v>45526</v>
      </c>
      <c r="J579" s="113">
        <v>5</v>
      </c>
      <c r="K579" s="70">
        <v>2.61</v>
      </c>
      <c r="N579" s="71"/>
      <c r="T579" s="128"/>
      <c r="Z579" s="80"/>
      <c r="AA579" s="80"/>
      <c r="AB579" s="80"/>
      <c r="AH579" s="73">
        <v>1359</v>
      </c>
    </row>
    <row r="580" spans="1:34">
      <c r="A580" s="137">
        <v>579</v>
      </c>
      <c r="B580" s="143">
        <v>2024</v>
      </c>
      <c r="C580" s="118" t="s">
        <v>136</v>
      </c>
      <c r="D580" s="116" t="s">
        <v>105</v>
      </c>
      <c r="E580" s="116" t="s">
        <v>15</v>
      </c>
      <c r="F580" s="116" t="s">
        <v>35</v>
      </c>
      <c r="G580" s="116" t="s">
        <v>46</v>
      </c>
      <c r="H580" s="139">
        <v>45531</v>
      </c>
      <c r="I580" s="139">
        <v>45531</v>
      </c>
      <c r="J580" s="113"/>
      <c r="K580" s="70">
        <v>2.61</v>
      </c>
      <c r="L580" s="71">
        <f>N580*K580</f>
        <v>81.249299999999991</v>
      </c>
      <c r="N580" s="48">
        <v>31.13</v>
      </c>
      <c r="O580" s="48" t="s">
        <v>5</v>
      </c>
      <c r="P580" s="48">
        <v>68.5</v>
      </c>
      <c r="Q580" s="48">
        <v>37.5</v>
      </c>
      <c r="S580" s="48">
        <v>377.7</v>
      </c>
      <c r="T580" s="48">
        <v>5.51</v>
      </c>
      <c r="U580" s="72">
        <f>N580*1000*X580/100</f>
        <v>1089.55</v>
      </c>
      <c r="V580" s="72">
        <f>S580*U580/1000</f>
        <v>411.52303499999999</v>
      </c>
      <c r="W580" s="72">
        <f>P580*U580/1000</f>
        <v>74.634174999999999</v>
      </c>
      <c r="X580" s="48">
        <v>3.5</v>
      </c>
      <c r="Z580" s="48">
        <v>30.71</v>
      </c>
      <c r="AA580" s="48">
        <v>86.64</v>
      </c>
      <c r="AB580" s="48">
        <v>8.8699999999999992</v>
      </c>
      <c r="AH580" s="142"/>
    </row>
    <row r="581" spans="1:34">
      <c r="A581" s="137">
        <v>580</v>
      </c>
      <c r="B581" s="143">
        <v>2024</v>
      </c>
      <c r="C581" s="118" t="s">
        <v>136</v>
      </c>
      <c r="D581" s="116" t="s">
        <v>105</v>
      </c>
      <c r="E581" s="116" t="s">
        <v>23</v>
      </c>
      <c r="F581" s="116" t="s">
        <v>27</v>
      </c>
      <c r="G581" s="116" t="s">
        <v>45</v>
      </c>
      <c r="H581" s="139">
        <v>45604</v>
      </c>
      <c r="I581" s="139">
        <v>45615</v>
      </c>
      <c r="J581" s="113">
        <v>6</v>
      </c>
      <c r="K581" s="70">
        <v>2.61</v>
      </c>
      <c r="L581" s="71">
        <f>254/(2.61+1.32)*K581</f>
        <v>168.68702290076337</v>
      </c>
      <c r="M581" s="86" t="s">
        <v>201</v>
      </c>
      <c r="N581" s="71">
        <f>L581/K581</f>
        <v>64.631043256997458</v>
      </c>
      <c r="O581" s="48" t="s">
        <v>64</v>
      </c>
      <c r="T581" s="128"/>
      <c r="Z581" s="80"/>
      <c r="AA581" s="80"/>
      <c r="AB581" s="80"/>
      <c r="AH581" s="73">
        <v>1529.2</v>
      </c>
    </row>
  </sheetData>
  <sortState xmlns:xlrd2="http://schemas.microsoft.com/office/spreadsheetml/2017/richdata2" ref="A2:AR494">
    <sortCondition ref="B2:B494"/>
    <sortCondition ref="C2:C494"/>
    <sortCondition ref="H2:H494"/>
  </sortState>
  <pageMargins left="0.75" right="0.75" top="1" bottom="1" header="0.5" footer="0.5"/>
  <pageSetup paperSize="9" orientation="portrait" horizontalDpi="4294967292" verticalDpi="4294967292" r:id="rId1"/>
  <ignoredErrors>
    <ignoredError sqref="L517" 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K110"/>
  <sheetViews>
    <sheetView workbookViewId="0">
      <selection activeCell="B110" sqref="B110"/>
    </sheetView>
  </sheetViews>
  <sheetFormatPr defaultRowHeight="15.6"/>
  <sheetData>
    <row r="1" spans="2:11">
      <c r="B1" s="46" t="s">
        <v>165</v>
      </c>
    </row>
    <row r="2" spans="2:11">
      <c r="B2" s="46" t="s">
        <v>166</v>
      </c>
    </row>
    <row r="3" spans="2:11">
      <c r="B3" s="46" t="s">
        <v>163</v>
      </c>
      <c r="K3" s="46" t="s">
        <v>164</v>
      </c>
    </row>
    <row r="55" spans="2:2">
      <c r="B55" s="46" t="s">
        <v>162</v>
      </c>
    </row>
    <row r="82" spans="2:2">
      <c r="B82" s="46" t="s">
        <v>161</v>
      </c>
    </row>
    <row r="83" spans="2:2">
      <c r="B83" s="46" t="s">
        <v>176</v>
      </c>
    </row>
    <row r="102" spans="2:2">
      <c r="B102" s="47" t="s">
        <v>156</v>
      </c>
    </row>
    <row r="103" spans="2:2">
      <c r="B103" s="35" t="s">
        <v>157</v>
      </c>
    </row>
    <row r="104" spans="2:2">
      <c r="B104" s="35" t="s">
        <v>158</v>
      </c>
    </row>
    <row r="105" spans="2:2">
      <c r="B105" s="35" t="s">
        <v>159</v>
      </c>
    </row>
    <row r="106" spans="2:2">
      <c r="B106" s="35" t="s">
        <v>160</v>
      </c>
    </row>
    <row r="109" spans="2:2">
      <c r="B109" s="35" t="s">
        <v>177</v>
      </c>
    </row>
    <row r="110" spans="2:2">
      <c r="B110" s="35" t="s">
        <v>178</v>
      </c>
    </row>
  </sheetData>
  <pageMargins left="0.7" right="0.7" top="0.75" bottom="0.75" header="0.3" footer="0.3"/>
  <pageSetup paperSize="9"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52"/>
  <sheetViews>
    <sheetView topLeftCell="A26" workbookViewId="0">
      <selection activeCell="A42" sqref="A42"/>
    </sheetView>
  </sheetViews>
  <sheetFormatPr defaultColWidth="11" defaultRowHeight="15.6"/>
  <cols>
    <col min="1" max="1" width="56.59765625" style="26" customWidth="1"/>
  </cols>
  <sheetData>
    <row r="1" spans="1:2" ht="21.9" customHeight="1">
      <c r="A1" s="38" t="s">
        <v>168</v>
      </c>
    </row>
    <row r="3" spans="1:2">
      <c r="A3" s="26" t="s">
        <v>132</v>
      </c>
    </row>
    <row r="6" spans="1:2">
      <c r="A6" s="27" t="s">
        <v>33</v>
      </c>
    </row>
    <row r="7" spans="1:2">
      <c r="A7" s="26" t="s">
        <v>131</v>
      </c>
    </row>
    <row r="9" spans="1:2">
      <c r="A9" s="36" t="s">
        <v>71</v>
      </c>
      <c r="B9" s="1"/>
    </row>
    <row r="10" spans="1:2">
      <c r="A10" s="36" t="s">
        <v>130</v>
      </c>
    </row>
    <row r="11" spans="1:2">
      <c r="A11" s="37" t="s">
        <v>129</v>
      </c>
    </row>
    <row r="12" spans="1:2">
      <c r="A12" s="41" t="s">
        <v>170</v>
      </c>
      <c r="B12" s="1"/>
    </row>
    <row r="13" spans="1:2">
      <c r="A13" s="41"/>
      <c r="B13" s="1"/>
    </row>
    <row r="14" spans="1:2">
      <c r="A14" s="1"/>
      <c r="B14" s="1"/>
    </row>
    <row r="15" spans="1:2">
      <c r="A15" s="28" t="s">
        <v>27</v>
      </c>
    </row>
    <row r="16" spans="1:2">
      <c r="A16" s="26" t="s">
        <v>108</v>
      </c>
    </row>
    <row r="17" spans="1:1">
      <c r="A17" s="26" t="s">
        <v>139</v>
      </c>
    </row>
    <row r="18" spans="1:1">
      <c r="A18" s="42" t="s">
        <v>140</v>
      </c>
    </row>
    <row r="19" spans="1:1">
      <c r="A19" s="26" t="s">
        <v>137</v>
      </c>
    </row>
    <row r="20" spans="1:1">
      <c r="A20" s="26" t="s">
        <v>138</v>
      </c>
    </row>
    <row r="23" spans="1:1">
      <c r="A23" s="29" t="s">
        <v>106</v>
      </c>
    </row>
    <row r="24" spans="1:1">
      <c r="A24" s="26" t="s">
        <v>107</v>
      </c>
    </row>
    <row r="25" spans="1:1">
      <c r="A25" s="26" t="s">
        <v>127</v>
      </c>
    </row>
    <row r="26" spans="1:1">
      <c r="A26" s="26" t="s">
        <v>126</v>
      </c>
    </row>
    <row r="29" spans="1:1">
      <c r="A29" s="30" t="s">
        <v>24</v>
      </c>
    </row>
    <row r="30" spans="1:1">
      <c r="A30" s="31" t="s">
        <v>121</v>
      </c>
    </row>
    <row r="31" spans="1:1">
      <c r="A31" s="31" t="s">
        <v>123</v>
      </c>
    </row>
    <row r="32" spans="1:1">
      <c r="A32" s="26" t="s">
        <v>122</v>
      </c>
    </row>
    <row r="35" spans="1:1">
      <c r="A35" s="32" t="s">
        <v>15</v>
      </c>
    </row>
    <row r="36" spans="1:1">
      <c r="A36" s="26" t="s">
        <v>167</v>
      </c>
    </row>
    <row r="39" spans="1:1">
      <c r="A39" s="33" t="s">
        <v>22</v>
      </c>
    </row>
    <row r="40" spans="1:1">
      <c r="A40" s="26" t="s">
        <v>116</v>
      </c>
    </row>
    <row r="41" spans="1:1">
      <c r="A41" s="26" t="s">
        <v>128</v>
      </c>
    </row>
    <row r="42" spans="1:1">
      <c r="A42" s="26" t="s">
        <v>115</v>
      </c>
    </row>
    <row r="45" spans="1:1">
      <c r="A45" s="34" t="s">
        <v>111</v>
      </c>
    </row>
    <row r="46" spans="1:1" s="40" customFormat="1" ht="26.1" customHeight="1">
      <c r="A46" s="26" t="s">
        <v>112</v>
      </c>
    </row>
    <row r="47" spans="1:1" ht="152.4">
      <c r="A47" s="39" t="s">
        <v>133</v>
      </c>
    </row>
    <row r="48" spans="1:1">
      <c r="A48" s="26" t="s">
        <v>114</v>
      </c>
    </row>
    <row r="49" spans="1:1">
      <c r="A49" s="26" t="s">
        <v>113</v>
      </c>
    </row>
    <row r="50" spans="1:1">
      <c r="A50" s="35" t="s">
        <v>110</v>
      </c>
    </row>
    <row r="51" spans="1:1">
      <c r="A51" s="26" t="s">
        <v>179</v>
      </c>
    </row>
    <row r="52" spans="1:1" ht="69.599999999999994">
      <c r="A52" s="39" t="s">
        <v>169</v>
      </c>
    </row>
  </sheetData>
  <pageMargins left="0.75" right="0.75" top="1" bottom="1" header="0.5" footer="0.5"/>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87"/>
  <sheetViews>
    <sheetView topLeftCell="A103" workbookViewId="0">
      <selection activeCell="F87" sqref="F87"/>
    </sheetView>
  </sheetViews>
  <sheetFormatPr defaultColWidth="11" defaultRowHeight="15.6"/>
  <cols>
    <col min="1" max="1" width="2.8984375" customWidth="1"/>
    <col min="2" max="2" width="3.5" customWidth="1"/>
    <col min="3" max="3" width="36.5" bestFit="1" customWidth="1"/>
    <col min="4" max="4" width="11.5" customWidth="1"/>
    <col min="5" max="5" width="12.09765625" customWidth="1"/>
    <col min="6" max="6" width="6" customWidth="1"/>
    <col min="10" max="10" width="15.3984375" customWidth="1"/>
  </cols>
  <sheetData>
    <row r="1" spans="1:10">
      <c r="A1" s="3"/>
      <c r="B1" s="3"/>
      <c r="C1" s="3"/>
      <c r="D1" s="3"/>
      <c r="E1" s="3"/>
      <c r="F1" s="3"/>
      <c r="G1" s="3"/>
      <c r="H1" s="3"/>
      <c r="I1" s="3"/>
      <c r="J1" s="3"/>
    </row>
    <row r="2" spans="1:10" ht="23.4">
      <c r="A2" s="3"/>
      <c r="B2" s="3"/>
      <c r="C2" s="2" t="s">
        <v>104</v>
      </c>
      <c r="D2" s="3"/>
      <c r="E2" s="3"/>
      <c r="F2" s="3"/>
      <c r="G2" s="3"/>
      <c r="H2" s="3"/>
      <c r="I2" s="3"/>
      <c r="J2" s="3"/>
    </row>
    <row r="3" spans="1:10">
      <c r="A3" s="3"/>
      <c r="B3" s="3"/>
      <c r="C3" s="3"/>
      <c r="D3" s="3"/>
      <c r="E3" s="3"/>
      <c r="F3" s="3"/>
      <c r="G3" s="3"/>
      <c r="H3" s="3"/>
      <c r="I3" s="3"/>
      <c r="J3" s="3"/>
    </row>
    <row r="4" spans="1:10">
      <c r="A4" s="3"/>
      <c r="B4" s="8"/>
      <c r="C4" s="7"/>
      <c r="D4" s="7"/>
      <c r="E4" s="7"/>
      <c r="F4" s="7"/>
      <c r="G4" s="7"/>
      <c r="H4" s="7"/>
      <c r="I4" s="7"/>
      <c r="J4" s="9"/>
    </row>
    <row r="5" spans="1:10">
      <c r="A5" s="3"/>
      <c r="B5" s="10"/>
      <c r="C5" s="21" t="s">
        <v>88</v>
      </c>
      <c r="D5" s="12" t="s">
        <v>96</v>
      </c>
      <c r="E5" s="12"/>
      <c r="F5" s="3"/>
      <c r="G5" s="3"/>
      <c r="H5" s="3"/>
      <c r="I5" s="3"/>
      <c r="J5" s="11"/>
    </row>
    <row r="6" spans="1:10">
      <c r="A6" s="3"/>
      <c r="B6" s="10"/>
      <c r="C6" s="12"/>
      <c r="D6" s="12" t="s">
        <v>87</v>
      </c>
      <c r="E6" s="12" t="s">
        <v>90</v>
      </c>
      <c r="F6" s="3"/>
      <c r="G6" s="3"/>
      <c r="H6" s="3"/>
      <c r="I6" s="3"/>
      <c r="J6" s="11"/>
    </row>
    <row r="7" spans="1:10">
      <c r="A7" s="3"/>
      <c r="B7" s="10"/>
      <c r="C7" s="7" t="s">
        <v>82</v>
      </c>
      <c r="D7" s="7">
        <v>15</v>
      </c>
      <c r="E7" s="7">
        <f t="shared" ref="E7:E12" si="0">D7*100/1000</f>
        <v>1.5</v>
      </c>
      <c r="F7" s="3"/>
      <c r="G7" s="3"/>
      <c r="H7" s="3"/>
      <c r="I7" s="3"/>
      <c r="J7" s="11"/>
    </row>
    <row r="8" spans="1:10">
      <c r="A8" s="3"/>
      <c r="B8" s="10"/>
      <c r="C8" s="3" t="s">
        <v>83</v>
      </c>
      <c r="D8" s="3">
        <v>5</v>
      </c>
      <c r="E8" s="3">
        <f t="shared" si="0"/>
        <v>0.5</v>
      </c>
      <c r="F8" s="3"/>
      <c r="G8" s="3"/>
      <c r="H8" s="3"/>
      <c r="I8" s="3"/>
      <c r="J8" s="11"/>
    </row>
    <row r="9" spans="1:10">
      <c r="A9" s="3"/>
      <c r="B9" s="10"/>
      <c r="C9" s="3" t="s">
        <v>84</v>
      </c>
      <c r="D9" s="3">
        <v>60</v>
      </c>
      <c r="E9" s="3">
        <f t="shared" si="0"/>
        <v>6</v>
      </c>
      <c r="F9" s="3"/>
      <c r="G9" s="3"/>
      <c r="H9" s="3"/>
      <c r="I9" s="3"/>
      <c r="J9" s="11"/>
    </row>
    <row r="10" spans="1:10">
      <c r="A10" s="3"/>
      <c r="B10" s="10"/>
      <c r="C10" s="3" t="s">
        <v>85</v>
      </c>
      <c r="D10" s="3">
        <v>60</v>
      </c>
      <c r="E10" s="3">
        <f t="shared" si="0"/>
        <v>6</v>
      </c>
      <c r="F10" s="3"/>
      <c r="G10" s="3"/>
      <c r="H10" s="3"/>
      <c r="I10" s="3"/>
      <c r="J10" s="11"/>
    </row>
    <row r="11" spans="1:10">
      <c r="A11" s="3"/>
      <c r="B11" s="10"/>
      <c r="C11" s="4" t="s">
        <v>86</v>
      </c>
      <c r="D11" s="5">
        <v>60</v>
      </c>
      <c r="E11" s="5">
        <f t="shared" si="0"/>
        <v>6</v>
      </c>
      <c r="F11" s="3"/>
      <c r="G11" s="3"/>
      <c r="H11" s="3"/>
      <c r="I11" s="3"/>
      <c r="J11" s="11"/>
    </row>
    <row r="12" spans="1:10">
      <c r="A12" s="3"/>
      <c r="B12" s="10"/>
      <c r="C12" s="3" t="s">
        <v>89</v>
      </c>
      <c r="D12" s="3">
        <f>SUM(D7:D11)</f>
        <v>200</v>
      </c>
      <c r="E12" s="3">
        <f t="shared" si="0"/>
        <v>20</v>
      </c>
      <c r="F12" s="3"/>
      <c r="G12" s="3"/>
      <c r="H12" s="3"/>
      <c r="I12" s="3"/>
      <c r="J12" s="11"/>
    </row>
    <row r="13" spans="1:10">
      <c r="A13" s="3"/>
      <c r="B13" s="10"/>
      <c r="C13" s="3"/>
      <c r="D13" s="3"/>
      <c r="E13" s="3"/>
      <c r="F13" s="3"/>
      <c r="G13" s="3"/>
      <c r="H13" s="3"/>
      <c r="I13" s="3"/>
      <c r="J13" s="11"/>
    </row>
    <row r="14" spans="1:10">
      <c r="A14" s="3"/>
      <c r="B14" s="10"/>
      <c r="C14" s="3"/>
      <c r="D14" s="3"/>
      <c r="E14" s="3"/>
      <c r="F14" s="3"/>
      <c r="G14" s="3"/>
      <c r="H14" s="3"/>
      <c r="I14" s="3"/>
      <c r="J14" s="11"/>
    </row>
    <row r="15" spans="1:10">
      <c r="A15" s="3"/>
      <c r="B15" s="10"/>
      <c r="C15" s="3"/>
      <c r="D15" s="3"/>
      <c r="E15" s="3"/>
      <c r="F15" s="3"/>
      <c r="G15" s="3"/>
      <c r="H15" s="3"/>
      <c r="I15" s="3"/>
      <c r="J15" s="11"/>
    </row>
    <row r="16" spans="1:10">
      <c r="A16" s="3"/>
      <c r="B16" s="10"/>
      <c r="C16" s="3"/>
      <c r="D16" s="3"/>
      <c r="E16" s="3"/>
      <c r="F16" s="3"/>
      <c r="G16" s="3"/>
      <c r="H16" s="3"/>
      <c r="I16" s="3"/>
      <c r="J16" s="11"/>
    </row>
    <row r="17" spans="1:10">
      <c r="A17" s="3"/>
      <c r="B17" s="10"/>
      <c r="C17" s="3"/>
      <c r="D17" s="3"/>
      <c r="E17" s="3"/>
      <c r="F17" s="3"/>
      <c r="G17" s="3"/>
      <c r="H17" s="3"/>
      <c r="I17" s="3"/>
      <c r="J17" s="11"/>
    </row>
    <row r="18" spans="1:10">
      <c r="A18" s="3"/>
      <c r="B18" s="13"/>
      <c r="C18" s="5"/>
      <c r="D18" s="5"/>
      <c r="E18" s="5"/>
      <c r="F18" s="5"/>
      <c r="G18" s="5"/>
      <c r="H18" s="5"/>
      <c r="I18" s="5"/>
      <c r="J18" s="14"/>
    </row>
    <row r="19" spans="1:10">
      <c r="A19" s="3"/>
      <c r="B19" s="3"/>
      <c r="C19" s="3"/>
      <c r="D19" s="3"/>
      <c r="E19" s="3"/>
      <c r="F19" s="3"/>
      <c r="G19" s="3"/>
      <c r="H19" s="3"/>
      <c r="I19" s="3"/>
      <c r="J19" s="3"/>
    </row>
    <row r="20" spans="1:10">
      <c r="A20" s="3"/>
      <c r="B20" s="8"/>
      <c r="C20" s="7"/>
      <c r="D20" s="7"/>
      <c r="E20" s="7"/>
      <c r="F20" s="7"/>
      <c r="G20" s="7"/>
      <c r="H20" s="7"/>
      <c r="I20" s="7"/>
      <c r="J20" s="9"/>
    </row>
    <row r="21" spans="1:10">
      <c r="A21" s="3"/>
      <c r="B21" s="10"/>
      <c r="C21" s="3"/>
      <c r="D21" s="3"/>
      <c r="E21" s="3"/>
      <c r="F21" s="3"/>
      <c r="G21" s="3"/>
      <c r="H21" s="3"/>
      <c r="I21" s="3"/>
      <c r="J21" s="11"/>
    </row>
    <row r="22" spans="1:10">
      <c r="A22" s="3"/>
      <c r="B22" s="10"/>
      <c r="C22" s="3"/>
      <c r="D22" s="3"/>
      <c r="E22" s="3"/>
      <c r="F22" s="3"/>
      <c r="G22" s="3"/>
      <c r="H22" s="3"/>
      <c r="I22" s="3"/>
      <c r="J22" s="11"/>
    </row>
    <row r="23" spans="1:10">
      <c r="A23" s="3"/>
      <c r="B23" s="10"/>
      <c r="C23" s="21" t="s">
        <v>95</v>
      </c>
      <c r="D23" s="12" t="s">
        <v>96</v>
      </c>
      <c r="E23" s="12"/>
      <c r="F23" s="3"/>
      <c r="G23" s="3"/>
      <c r="H23" s="3"/>
      <c r="I23" s="3"/>
      <c r="J23" s="11"/>
    </row>
    <row r="24" spans="1:10">
      <c r="A24" s="3"/>
      <c r="B24" s="10"/>
      <c r="C24" s="12" t="s">
        <v>92</v>
      </c>
      <c r="D24" s="12" t="s">
        <v>87</v>
      </c>
      <c r="E24" s="12" t="s">
        <v>90</v>
      </c>
      <c r="F24" s="3"/>
      <c r="G24" s="3"/>
      <c r="H24" s="3"/>
      <c r="I24" s="3"/>
      <c r="J24" s="11"/>
    </row>
    <row r="25" spans="1:10">
      <c r="A25" s="3"/>
      <c r="B25" s="10"/>
      <c r="C25" s="3" t="s">
        <v>82</v>
      </c>
      <c r="D25" s="3">
        <v>20</v>
      </c>
      <c r="E25" s="3">
        <f>D25*100/1000</f>
        <v>2</v>
      </c>
      <c r="F25" s="3"/>
      <c r="G25" s="3"/>
      <c r="H25" s="3"/>
      <c r="I25" s="3"/>
      <c r="J25" s="11"/>
    </row>
    <row r="26" spans="1:10">
      <c r="A26" s="3"/>
      <c r="B26" s="10"/>
      <c r="C26" s="3" t="s">
        <v>83</v>
      </c>
      <c r="D26" s="3">
        <v>10</v>
      </c>
      <c r="E26" s="3">
        <f t="shared" ref="E26:E32" si="1">D26*100/1000</f>
        <v>1</v>
      </c>
      <c r="F26" s="3"/>
      <c r="G26" s="3"/>
      <c r="H26" s="3"/>
      <c r="I26" s="3"/>
      <c r="J26" s="11"/>
    </row>
    <row r="27" spans="1:10">
      <c r="A27" s="3"/>
      <c r="B27" s="10"/>
      <c r="C27" s="3" t="s">
        <v>91</v>
      </c>
      <c r="D27" s="3">
        <v>10</v>
      </c>
      <c r="E27" s="3">
        <f t="shared" si="1"/>
        <v>1</v>
      </c>
      <c r="F27" s="3"/>
      <c r="G27" s="3"/>
      <c r="H27" s="3"/>
      <c r="I27" s="3"/>
      <c r="J27" s="11"/>
    </row>
    <row r="28" spans="1:10">
      <c r="A28" s="3"/>
      <c r="B28" s="10"/>
      <c r="C28" s="3" t="s">
        <v>84</v>
      </c>
      <c r="D28" s="3">
        <v>50</v>
      </c>
      <c r="E28" s="3">
        <f t="shared" si="1"/>
        <v>5</v>
      </c>
      <c r="F28" s="3"/>
      <c r="G28" s="3"/>
      <c r="H28" s="3"/>
      <c r="I28" s="3"/>
      <c r="J28" s="11"/>
    </row>
    <row r="29" spans="1:10">
      <c r="A29" s="3"/>
      <c r="B29" s="10"/>
      <c r="C29" s="3" t="s">
        <v>85</v>
      </c>
      <c r="D29" s="3">
        <v>50</v>
      </c>
      <c r="E29" s="3">
        <f t="shared" si="1"/>
        <v>5</v>
      </c>
      <c r="F29" s="3"/>
      <c r="G29" s="3"/>
      <c r="H29" s="3"/>
      <c r="I29" s="3"/>
      <c r="J29" s="11"/>
    </row>
    <row r="30" spans="1:10">
      <c r="A30" s="3"/>
      <c r="B30" s="10"/>
      <c r="C30" s="6" t="s">
        <v>86</v>
      </c>
      <c r="D30" s="3">
        <v>100</v>
      </c>
      <c r="E30" s="3">
        <f t="shared" si="1"/>
        <v>10</v>
      </c>
      <c r="F30" s="3"/>
      <c r="G30" s="3"/>
      <c r="H30" s="3"/>
      <c r="I30" s="3"/>
      <c r="J30" s="11"/>
    </row>
    <row r="31" spans="1:10">
      <c r="A31" s="3"/>
      <c r="B31" s="10"/>
      <c r="C31" s="3" t="s">
        <v>94</v>
      </c>
      <c r="D31" s="3">
        <v>50</v>
      </c>
      <c r="E31" s="3">
        <f t="shared" si="1"/>
        <v>5</v>
      </c>
      <c r="F31" s="3"/>
      <c r="G31" s="3"/>
      <c r="H31" s="3"/>
      <c r="I31" s="3"/>
      <c r="J31" s="11"/>
    </row>
    <row r="32" spans="1:10">
      <c r="A32" s="3"/>
      <c r="B32" s="10"/>
      <c r="C32" s="3" t="s">
        <v>93</v>
      </c>
      <c r="D32" s="3">
        <v>30</v>
      </c>
      <c r="E32" s="3">
        <f t="shared" si="1"/>
        <v>3</v>
      </c>
      <c r="F32" s="3"/>
      <c r="G32" s="3"/>
      <c r="H32" s="3"/>
      <c r="I32" s="3"/>
      <c r="J32" s="11"/>
    </row>
    <row r="33" spans="1:10">
      <c r="A33" s="3"/>
      <c r="B33" s="10"/>
      <c r="C33" s="3" t="s">
        <v>89</v>
      </c>
      <c r="D33" s="3">
        <f>SUM(D25:D32)</f>
        <v>320</v>
      </c>
      <c r="E33" s="3">
        <f>SUM(E25:E32)</f>
        <v>32</v>
      </c>
      <c r="F33" s="3"/>
      <c r="G33" s="3"/>
      <c r="H33" s="3"/>
      <c r="I33" s="3"/>
      <c r="J33" s="11"/>
    </row>
    <row r="34" spans="1:10">
      <c r="A34" s="3"/>
      <c r="B34" s="10"/>
      <c r="C34" s="3"/>
      <c r="D34" s="3"/>
      <c r="E34" s="3"/>
      <c r="F34" s="3"/>
      <c r="G34" s="3"/>
      <c r="H34" s="3"/>
      <c r="I34" s="3"/>
      <c r="J34" s="11"/>
    </row>
    <row r="35" spans="1:10">
      <c r="A35" s="3"/>
      <c r="B35" s="10"/>
      <c r="C35" s="3"/>
      <c r="D35" s="3"/>
      <c r="E35" s="3"/>
      <c r="F35" s="3"/>
      <c r="G35" s="3"/>
      <c r="H35" s="3"/>
      <c r="I35" s="3"/>
      <c r="J35" s="11"/>
    </row>
    <row r="36" spans="1:10">
      <c r="A36" s="3"/>
      <c r="B36" s="10"/>
      <c r="C36" s="3"/>
      <c r="D36" s="3"/>
      <c r="E36" s="3"/>
      <c r="F36" s="3"/>
      <c r="G36" s="3"/>
      <c r="H36" s="3"/>
      <c r="I36" s="3"/>
      <c r="J36" s="11"/>
    </row>
    <row r="37" spans="1:10">
      <c r="A37" s="3"/>
      <c r="B37" s="10"/>
      <c r="C37" s="3"/>
      <c r="D37" s="3"/>
      <c r="E37" s="3"/>
      <c r="F37" s="3"/>
      <c r="G37" s="3"/>
      <c r="H37" s="3"/>
      <c r="I37" s="3"/>
      <c r="J37" s="11"/>
    </row>
    <row r="38" spans="1:10">
      <c r="A38" s="3"/>
      <c r="B38" s="10"/>
      <c r="C38" s="3"/>
      <c r="D38" s="3"/>
      <c r="E38" s="3"/>
      <c r="F38" s="3"/>
      <c r="G38" s="3"/>
      <c r="H38" s="3"/>
      <c r="I38" s="3"/>
      <c r="J38" s="11"/>
    </row>
    <row r="39" spans="1:10">
      <c r="A39" s="3"/>
      <c r="B39" s="10"/>
      <c r="C39" s="3"/>
      <c r="D39" s="3"/>
      <c r="E39" s="3"/>
      <c r="F39" s="3"/>
      <c r="G39" s="3"/>
      <c r="H39" s="3"/>
      <c r="I39" s="3"/>
      <c r="J39" s="11"/>
    </row>
    <row r="40" spans="1:10">
      <c r="A40" s="3"/>
      <c r="B40" s="10"/>
      <c r="C40" s="3"/>
      <c r="D40" s="3"/>
      <c r="E40" s="3"/>
      <c r="F40" s="3"/>
      <c r="G40" s="3"/>
      <c r="H40" s="3"/>
      <c r="I40" s="3"/>
      <c r="J40" s="11"/>
    </row>
    <row r="41" spans="1:10">
      <c r="A41" s="3"/>
      <c r="B41" s="10"/>
      <c r="C41" s="3"/>
      <c r="D41" s="3"/>
      <c r="E41" s="3"/>
      <c r="F41" s="3"/>
      <c r="G41" s="3"/>
      <c r="H41" s="3"/>
      <c r="I41" s="3"/>
      <c r="J41" s="11"/>
    </row>
    <row r="42" spans="1:10">
      <c r="A42" s="3"/>
      <c r="B42" s="10"/>
      <c r="C42" s="3"/>
      <c r="D42" s="3"/>
      <c r="E42" s="3"/>
      <c r="F42" s="3"/>
      <c r="G42" s="3"/>
      <c r="H42" s="3"/>
      <c r="I42" s="3"/>
      <c r="J42" s="11"/>
    </row>
    <row r="43" spans="1:10">
      <c r="A43" s="3"/>
      <c r="B43" s="13"/>
      <c r="C43" s="5"/>
      <c r="D43" s="5"/>
      <c r="E43" s="5"/>
      <c r="F43" s="5"/>
      <c r="G43" s="5"/>
      <c r="H43" s="5"/>
      <c r="I43" s="5"/>
      <c r="J43" s="14"/>
    </row>
    <row r="44" spans="1:10">
      <c r="A44" s="3"/>
      <c r="B44" s="3"/>
      <c r="C44" s="3"/>
      <c r="D44" s="3"/>
      <c r="E44" s="3"/>
      <c r="F44" s="3"/>
      <c r="G44" s="3"/>
      <c r="H44" s="3"/>
      <c r="I44" s="3"/>
      <c r="J44" s="3"/>
    </row>
    <row r="45" spans="1:10">
      <c r="A45" s="3"/>
      <c r="B45" s="8"/>
      <c r="C45" s="7"/>
      <c r="D45" s="7"/>
      <c r="E45" s="7"/>
      <c r="F45" s="7"/>
      <c r="G45" s="7"/>
      <c r="H45" s="7"/>
      <c r="I45" s="7"/>
      <c r="J45" s="9"/>
    </row>
    <row r="46" spans="1:10">
      <c r="A46" s="3"/>
      <c r="B46" s="10"/>
      <c r="C46" s="21" t="s">
        <v>147</v>
      </c>
      <c r="D46" s="12" t="s">
        <v>96</v>
      </c>
      <c r="E46" s="12"/>
      <c r="F46" s="3"/>
      <c r="G46" s="3"/>
      <c r="H46" s="3"/>
      <c r="I46" s="3"/>
      <c r="J46" s="11"/>
    </row>
    <row r="47" spans="1:10">
      <c r="A47" s="3"/>
      <c r="B47" s="10"/>
      <c r="C47" s="12" t="s">
        <v>148</v>
      </c>
      <c r="D47" s="12" t="s">
        <v>87</v>
      </c>
      <c r="E47" s="12" t="s">
        <v>90</v>
      </c>
      <c r="F47" s="3"/>
      <c r="G47" s="3"/>
      <c r="H47" s="3"/>
      <c r="I47" s="3"/>
      <c r="J47" s="11"/>
    </row>
    <row r="48" spans="1:10">
      <c r="A48" s="3"/>
      <c r="B48" s="10"/>
      <c r="C48" s="43" t="s">
        <v>82</v>
      </c>
      <c r="D48" s="3">
        <v>15</v>
      </c>
      <c r="E48" s="3">
        <f>D48*100/1000</f>
        <v>1.5</v>
      </c>
      <c r="F48" s="3"/>
      <c r="G48" s="3"/>
      <c r="H48" s="3"/>
      <c r="I48" s="3"/>
      <c r="J48" s="11"/>
    </row>
    <row r="49" spans="1:10">
      <c r="A49" s="3"/>
      <c r="B49" s="10"/>
      <c r="C49" s="43" t="s">
        <v>83</v>
      </c>
      <c r="D49" s="3">
        <v>5</v>
      </c>
      <c r="E49" s="3">
        <f t="shared" ref="E49:E55" si="2">D49*100/1000</f>
        <v>0.5</v>
      </c>
      <c r="F49" s="3"/>
      <c r="G49" s="3"/>
      <c r="H49" s="3"/>
      <c r="I49" s="3"/>
      <c r="J49" s="11"/>
    </row>
    <row r="50" spans="1:10">
      <c r="A50" s="3"/>
      <c r="B50" s="10"/>
      <c r="C50" s="43" t="s">
        <v>141</v>
      </c>
      <c r="D50" s="3">
        <v>20</v>
      </c>
      <c r="E50" s="3">
        <f t="shared" si="2"/>
        <v>2</v>
      </c>
      <c r="F50" s="3"/>
      <c r="G50" s="3"/>
      <c r="H50" s="3"/>
      <c r="I50" s="3"/>
      <c r="J50" s="11"/>
    </row>
    <row r="51" spans="1:10">
      <c r="A51" s="3"/>
      <c r="B51" s="10"/>
      <c r="C51" s="43" t="s">
        <v>142</v>
      </c>
      <c r="D51" s="3">
        <v>20</v>
      </c>
      <c r="E51" s="3">
        <f t="shared" si="2"/>
        <v>2</v>
      </c>
      <c r="F51" s="3"/>
      <c r="G51" s="3"/>
      <c r="H51" s="3"/>
      <c r="I51" s="3"/>
      <c r="J51" s="11"/>
    </row>
    <row r="52" spans="1:10">
      <c r="A52" s="3"/>
      <c r="B52" s="10"/>
      <c r="C52" s="43" t="s">
        <v>143</v>
      </c>
      <c r="D52" s="3">
        <v>40</v>
      </c>
      <c r="E52" s="3">
        <f t="shared" si="2"/>
        <v>4</v>
      </c>
      <c r="F52" s="3"/>
      <c r="G52" s="3"/>
      <c r="H52" s="3"/>
      <c r="I52" s="3"/>
      <c r="J52" s="11"/>
    </row>
    <row r="53" spans="1:10">
      <c r="A53" s="3"/>
      <c r="B53" s="10"/>
      <c r="C53" s="44" t="s">
        <v>144</v>
      </c>
      <c r="D53" s="3">
        <v>40</v>
      </c>
      <c r="E53" s="3">
        <f t="shared" si="2"/>
        <v>4</v>
      </c>
      <c r="F53" s="3"/>
      <c r="G53" s="3"/>
      <c r="H53" s="3"/>
      <c r="I53" s="3"/>
      <c r="J53" s="11"/>
    </row>
    <row r="54" spans="1:10">
      <c r="A54" s="3"/>
      <c r="B54" s="10"/>
      <c r="C54" s="43" t="s">
        <v>145</v>
      </c>
      <c r="D54" s="3">
        <v>50</v>
      </c>
      <c r="E54" s="3">
        <f t="shared" si="2"/>
        <v>5</v>
      </c>
      <c r="F54" s="3"/>
      <c r="G54" s="3"/>
      <c r="H54" s="3"/>
      <c r="I54" s="3"/>
      <c r="J54" s="11"/>
    </row>
    <row r="55" spans="1:10">
      <c r="A55" s="3"/>
      <c r="B55" s="10"/>
      <c r="C55" s="43" t="s">
        <v>146</v>
      </c>
      <c r="D55" s="3">
        <v>30</v>
      </c>
      <c r="E55" s="3">
        <f t="shared" si="2"/>
        <v>3</v>
      </c>
      <c r="F55" s="3"/>
      <c r="G55" s="3"/>
      <c r="H55" s="3"/>
      <c r="I55" s="3"/>
      <c r="J55" s="11"/>
    </row>
    <row r="56" spans="1:10">
      <c r="A56" s="3"/>
      <c r="B56" s="10"/>
      <c r="C56" s="7" t="s">
        <v>89</v>
      </c>
      <c r="D56" s="7">
        <f>SUM(D48:D55)</f>
        <v>220</v>
      </c>
      <c r="E56" s="7">
        <f>SUM(E48:E55)</f>
        <v>22</v>
      </c>
      <c r="F56" s="3"/>
      <c r="G56" s="3"/>
      <c r="H56" s="3"/>
      <c r="I56" s="3"/>
      <c r="J56" s="11"/>
    </row>
    <row r="57" spans="1:10">
      <c r="A57" s="3"/>
      <c r="B57" s="10"/>
      <c r="C57" s="3"/>
      <c r="D57" s="3"/>
      <c r="E57" s="3"/>
      <c r="F57" s="3"/>
      <c r="G57" s="3"/>
      <c r="H57" s="3"/>
      <c r="I57" s="3"/>
      <c r="J57" s="11"/>
    </row>
    <row r="58" spans="1:10">
      <c r="A58" s="3"/>
      <c r="B58" s="10"/>
      <c r="C58" s="3"/>
      <c r="D58" s="3"/>
      <c r="E58" s="3"/>
      <c r="F58" s="3"/>
      <c r="G58" s="3"/>
      <c r="H58" s="3"/>
      <c r="I58" s="3"/>
      <c r="J58" s="11"/>
    </row>
    <row r="59" spans="1:10">
      <c r="A59" s="3"/>
      <c r="B59" s="10"/>
      <c r="C59" s="3"/>
      <c r="D59" s="3"/>
      <c r="E59" s="3"/>
      <c r="F59" s="3"/>
      <c r="G59" s="3"/>
      <c r="H59" s="3"/>
      <c r="I59" s="3"/>
      <c r="J59" s="11"/>
    </row>
    <row r="60" spans="1:10">
      <c r="A60" s="3"/>
      <c r="B60" s="10"/>
      <c r="C60" s="3"/>
      <c r="D60" s="3"/>
      <c r="E60" s="3"/>
      <c r="F60" s="3"/>
      <c r="G60" s="3"/>
      <c r="H60" s="3"/>
      <c r="I60" s="3"/>
      <c r="J60" s="11"/>
    </row>
    <row r="61" spans="1:10">
      <c r="A61" s="3"/>
      <c r="B61" s="10"/>
      <c r="C61" s="3"/>
      <c r="D61" s="3"/>
      <c r="E61" s="3"/>
      <c r="F61" s="3"/>
      <c r="G61" s="3"/>
      <c r="H61" s="3"/>
      <c r="I61" s="3"/>
      <c r="J61" s="11"/>
    </row>
    <row r="62" spans="1:10">
      <c r="A62" s="3"/>
      <c r="B62" s="13"/>
      <c r="C62" s="18"/>
      <c r="D62" s="5"/>
      <c r="E62" s="5"/>
      <c r="F62" s="5"/>
      <c r="G62" s="5"/>
      <c r="H62" s="5"/>
      <c r="I62" s="5"/>
      <c r="J62" s="14"/>
    </row>
    <row r="63" spans="1:10">
      <c r="A63" s="3"/>
      <c r="B63" s="3"/>
      <c r="C63" s="3"/>
      <c r="D63" s="3"/>
      <c r="E63" s="3"/>
      <c r="F63" s="3"/>
      <c r="G63" s="3"/>
      <c r="H63" s="3"/>
      <c r="I63" s="3"/>
      <c r="J63" s="3"/>
    </row>
    <row r="64" spans="1:10">
      <c r="A64" s="3"/>
      <c r="B64" s="8"/>
      <c r="C64" s="7"/>
      <c r="D64" s="7"/>
      <c r="E64" s="7"/>
      <c r="F64" s="7"/>
      <c r="G64" s="7"/>
      <c r="H64" s="7"/>
      <c r="I64" s="7"/>
      <c r="J64" s="9"/>
    </row>
    <row r="65" spans="1:10">
      <c r="A65" s="3"/>
      <c r="B65" s="10"/>
      <c r="C65" s="25" t="s">
        <v>134</v>
      </c>
      <c r="D65" s="3"/>
      <c r="E65" s="3"/>
      <c r="F65" s="3"/>
      <c r="G65" s="3"/>
      <c r="H65" s="3"/>
      <c r="I65" s="3"/>
      <c r="J65" s="11"/>
    </row>
    <row r="66" spans="1:10">
      <c r="A66" s="3"/>
      <c r="B66" s="10"/>
      <c r="C66" s="23" t="s">
        <v>100</v>
      </c>
      <c r="D66" s="12" t="s">
        <v>96</v>
      </c>
      <c r="E66" s="12"/>
      <c r="F66" s="3"/>
      <c r="G66" s="24" t="s">
        <v>101</v>
      </c>
      <c r="H66" s="3"/>
      <c r="I66" s="3"/>
      <c r="J66" s="11"/>
    </row>
    <row r="67" spans="1:10">
      <c r="A67" s="3"/>
      <c r="B67" s="10"/>
      <c r="C67" s="22"/>
      <c r="D67" s="22" t="s">
        <v>87</v>
      </c>
      <c r="E67" s="22" t="s">
        <v>90</v>
      </c>
      <c r="F67" s="3"/>
      <c r="G67" s="3" t="s">
        <v>102</v>
      </c>
      <c r="H67" s="3"/>
      <c r="I67" s="3"/>
      <c r="J67" s="11"/>
    </row>
    <row r="68" spans="1:10">
      <c r="A68" s="3"/>
      <c r="B68" s="10"/>
      <c r="C68" s="15" t="s">
        <v>98</v>
      </c>
      <c r="D68" s="16">
        <f>D71/3</f>
        <v>66.666666666666671</v>
      </c>
      <c r="E68" s="17">
        <f>D68*100/1000</f>
        <v>6.666666666666667</v>
      </c>
      <c r="F68" s="3"/>
      <c r="G68" s="3" t="s">
        <v>103</v>
      </c>
      <c r="H68" s="3"/>
      <c r="I68" s="3"/>
      <c r="J68" s="11"/>
    </row>
    <row r="69" spans="1:10">
      <c r="A69" s="3"/>
      <c r="B69" s="10"/>
      <c r="C69" s="15" t="s">
        <v>97</v>
      </c>
      <c r="D69" s="16">
        <f>D71/3</f>
        <v>66.666666666666671</v>
      </c>
      <c r="E69" s="17">
        <f t="shared" ref="E69:E71" si="3">D69*100/1000</f>
        <v>6.666666666666667</v>
      </c>
      <c r="F69" s="3"/>
      <c r="G69" s="3"/>
      <c r="H69" s="3"/>
      <c r="I69" s="3"/>
      <c r="J69" s="11"/>
    </row>
    <row r="70" spans="1:10">
      <c r="A70" s="3"/>
      <c r="B70" s="10"/>
      <c r="C70" s="18" t="s">
        <v>99</v>
      </c>
      <c r="D70" s="19">
        <f>D71/3</f>
        <v>66.666666666666671</v>
      </c>
      <c r="E70" s="20">
        <f t="shared" si="3"/>
        <v>6.666666666666667</v>
      </c>
      <c r="F70" s="3"/>
      <c r="G70" s="3"/>
      <c r="H70" s="3"/>
      <c r="I70" s="3"/>
      <c r="J70" s="11"/>
    </row>
    <row r="71" spans="1:10">
      <c r="A71" s="3"/>
      <c r="B71" s="10"/>
      <c r="C71" s="15" t="s">
        <v>89</v>
      </c>
      <c r="D71" s="17">
        <v>200</v>
      </c>
      <c r="E71" s="17">
        <f t="shared" si="3"/>
        <v>20</v>
      </c>
      <c r="F71" s="3"/>
      <c r="G71" s="3"/>
      <c r="H71" s="3"/>
      <c r="I71" s="3"/>
      <c r="J71" s="11"/>
    </row>
    <row r="72" spans="1:10">
      <c r="A72" s="3"/>
      <c r="B72" s="10"/>
      <c r="C72" s="3"/>
      <c r="D72" s="3"/>
      <c r="E72" s="3"/>
      <c r="F72" s="3"/>
      <c r="G72" s="3"/>
      <c r="H72" s="3"/>
      <c r="I72" s="3"/>
      <c r="J72" s="11"/>
    </row>
    <row r="73" spans="1:10">
      <c r="A73" s="3"/>
      <c r="B73" s="13"/>
      <c r="C73" s="5"/>
      <c r="D73" s="5"/>
      <c r="E73" s="5"/>
      <c r="F73" s="5"/>
      <c r="G73" s="5"/>
      <c r="H73" s="5"/>
      <c r="I73" s="5"/>
      <c r="J73" s="14"/>
    </row>
    <row r="74" spans="1:10">
      <c r="A74" s="3"/>
      <c r="B74" s="3"/>
      <c r="C74" s="3"/>
      <c r="D74" s="3"/>
      <c r="E74" s="3"/>
      <c r="F74" s="3"/>
      <c r="G74" s="3"/>
      <c r="H74" s="3"/>
      <c r="I74" s="3"/>
      <c r="J74" s="3"/>
    </row>
    <row r="75" spans="1:10">
      <c r="B75" s="8"/>
      <c r="C75" s="7"/>
      <c r="D75" s="7"/>
      <c r="E75" s="7"/>
      <c r="F75" s="7"/>
      <c r="G75" s="7"/>
      <c r="H75" s="7"/>
      <c r="I75" s="7"/>
      <c r="J75" s="9"/>
    </row>
    <row r="76" spans="1:10">
      <c r="B76" s="10"/>
      <c r="C76" s="25" t="s">
        <v>149</v>
      </c>
      <c r="D76" s="3"/>
      <c r="E76" s="3"/>
      <c r="F76" s="3"/>
      <c r="G76" s="3"/>
      <c r="H76" s="3"/>
      <c r="I76" s="3"/>
      <c r="J76" s="11"/>
    </row>
    <row r="77" spans="1:10">
      <c r="B77" s="10"/>
      <c r="C77" s="23" t="s">
        <v>100</v>
      </c>
      <c r="D77" s="12" t="s">
        <v>96</v>
      </c>
      <c r="E77" s="12"/>
      <c r="F77" s="3"/>
      <c r="G77" s="24" t="s">
        <v>172</v>
      </c>
      <c r="H77" s="3"/>
      <c r="I77" s="3"/>
      <c r="J77" s="11"/>
    </row>
    <row r="78" spans="1:10">
      <c r="B78" s="10"/>
      <c r="C78" s="22"/>
      <c r="D78" s="22" t="s">
        <v>87</v>
      </c>
      <c r="E78" s="22" t="s">
        <v>90</v>
      </c>
      <c r="F78" s="3"/>
      <c r="G78" s="3" t="s">
        <v>102</v>
      </c>
      <c r="H78" s="3"/>
      <c r="I78" s="3"/>
      <c r="J78" s="11"/>
    </row>
    <row r="79" spans="1:10">
      <c r="B79" s="10"/>
      <c r="C79" s="15" t="s">
        <v>98</v>
      </c>
      <c r="D79" s="16"/>
      <c r="E79" s="17">
        <v>5</v>
      </c>
      <c r="F79" s="3"/>
      <c r="G79" s="3" t="s">
        <v>173</v>
      </c>
      <c r="H79" s="3"/>
      <c r="I79" s="3"/>
      <c r="J79" s="11"/>
    </row>
    <row r="80" spans="1:10">
      <c r="B80" s="10"/>
      <c r="C80" s="15" t="s">
        <v>97</v>
      </c>
      <c r="D80" s="16"/>
      <c r="E80" s="17">
        <f>10</f>
        <v>10</v>
      </c>
      <c r="F80" s="3"/>
      <c r="G80" s="45" t="s">
        <v>151</v>
      </c>
      <c r="H80" s="3"/>
      <c r="I80" s="3"/>
      <c r="J80" s="11"/>
    </row>
    <row r="81" spans="2:10">
      <c r="B81" s="10"/>
      <c r="C81" s="18" t="s">
        <v>155</v>
      </c>
      <c r="D81" s="19"/>
      <c r="E81" s="20">
        <v>5</v>
      </c>
      <c r="F81" s="3"/>
      <c r="G81" s="3" t="s">
        <v>150</v>
      </c>
      <c r="H81" s="3"/>
      <c r="I81" s="3"/>
      <c r="J81" s="11"/>
    </row>
    <row r="82" spans="2:10">
      <c r="B82" s="10"/>
      <c r="C82" s="15" t="s">
        <v>89</v>
      </c>
      <c r="D82" s="17"/>
      <c r="E82" s="17">
        <f>SUM(E79:E81)</f>
        <v>20</v>
      </c>
      <c r="F82" s="3"/>
      <c r="G82" s="3" t="s">
        <v>171</v>
      </c>
      <c r="H82" s="3"/>
      <c r="I82" s="3"/>
      <c r="J82" s="11"/>
    </row>
    <row r="83" spans="2:10">
      <c r="B83" s="10"/>
      <c r="C83" s="3"/>
      <c r="D83" s="3"/>
      <c r="E83" s="3"/>
      <c r="F83" s="3"/>
      <c r="G83" s="3" t="s">
        <v>152</v>
      </c>
      <c r="H83" s="3"/>
      <c r="I83" s="3"/>
      <c r="J83" s="11"/>
    </row>
    <row r="84" spans="2:10">
      <c r="B84" s="13"/>
      <c r="C84" s="5"/>
      <c r="D84" s="5"/>
      <c r="E84" s="5"/>
      <c r="F84" s="5"/>
      <c r="G84" s="5"/>
      <c r="H84" s="5"/>
      <c r="I84" s="5"/>
      <c r="J84" s="14"/>
    </row>
    <row r="87" spans="2:10">
      <c r="F87">
        <v>2021</v>
      </c>
    </row>
  </sheetData>
  <pageMargins left="0.75" right="0.75" top="1" bottom="1" header="0.5" footer="0.5"/>
  <pageSetup paperSize="9"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I181"/>
  <sheetViews>
    <sheetView topLeftCell="A211" zoomScale="70" zoomScaleNormal="70" workbookViewId="0">
      <selection activeCell="I185" sqref="I185"/>
    </sheetView>
  </sheetViews>
  <sheetFormatPr defaultColWidth="11" defaultRowHeight="15.6"/>
  <sheetData>
    <row r="181" spans="9:9">
      <c r="I181" t="s">
        <v>185</v>
      </c>
    </row>
  </sheetData>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CHA_Management</vt:lpstr>
      <vt:lpstr>Parcel separation</vt:lpstr>
      <vt:lpstr>Additional information</vt:lpstr>
      <vt:lpstr>Seed mixtures</vt:lpstr>
      <vt:lpstr>Herbicides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Mitarbeiter</dc:creator>
  <cp:lastModifiedBy>Wang  Yi</cp:lastModifiedBy>
  <cp:lastPrinted>2017-03-23T14:39:58Z</cp:lastPrinted>
  <dcterms:created xsi:type="dcterms:W3CDTF">2015-02-20T10:48:42Z</dcterms:created>
  <dcterms:modified xsi:type="dcterms:W3CDTF">2025-01-07T19:39:30Z</dcterms:modified>
</cp:coreProperties>
</file>